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Desktop\Razpisna HICAPS\POPISI\1 arhitektura\"/>
    </mc:Choice>
  </mc:AlternateContent>
  <bookViews>
    <workbookView xWindow="-120" yWindow="-120" windowWidth="29040" windowHeight="15840" tabRatio="887" firstSheet="1" activeTab="1"/>
  </bookViews>
  <sheets>
    <sheet name="REKAPITULACIJA" sheetId="1" state="hidden" r:id="rId1"/>
    <sheet name="GLAVNA REKAPITULACIJA" sheetId="2" r:id="rId2"/>
    <sheet name="navodila" sheetId="47" r:id="rId3"/>
    <sheet name="I.Pripravljalna +rusitvena dela" sheetId="4" r:id="rId4"/>
    <sheet name="II.Zemeljska dela" sheetId="5" r:id="rId5"/>
    <sheet name="III.AB dela" sheetId="6" r:id="rId6"/>
    <sheet name="IV.Tesarska dela" sheetId="7" r:id="rId7"/>
    <sheet name="V.Zidarska  dela" sheetId="50" r:id="rId8"/>
    <sheet name="VI. oporni zid sanacija" sheetId="8" r:id="rId9"/>
    <sheet name="I.Ključavničarska dela" sheetId="12" r:id="rId10"/>
    <sheet name="II. Urbana oprema" sheetId="14" r:id="rId11"/>
    <sheet name="III. Sadilni material" sheetId="15" r:id="rId12"/>
    <sheet name="tehnologija fontane" sheetId="52" r:id="rId13"/>
    <sheet name="II. Zidarska dela" sheetId="20" state="hidden" r:id="rId14"/>
    <sheet name="III. Tesarska dela" sheetId="21" state="hidden" r:id="rId15"/>
    <sheet name="B. OBRTNIŠKA DELA" sheetId="22" state="hidden" r:id="rId16"/>
    <sheet name="I. Krovsko kleparska dela" sheetId="23" state="hidden" r:id="rId17"/>
    <sheet name="II. Klučavničarska dela" sheetId="24" state="hidden" r:id="rId18"/>
    <sheet name="III. Alu in steklarska dela" sheetId="25" state="hidden" r:id="rId19"/>
    <sheet name="IV. Mizarska dela" sheetId="26" state="hidden" r:id="rId20"/>
    <sheet name=" V. Pred. stene in spušč. str." sheetId="27" state="hidden" r:id="rId21"/>
    <sheet name="VI. Keramičarska dela" sheetId="28" state="hidden" r:id="rId22"/>
    <sheet name="VII. Fasaderska dela" sheetId="29" state="hidden" r:id="rId23"/>
    <sheet name="VIII. Slikopleskarska dela" sheetId="30" state="hidden" r:id="rId24"/>
    <sheet name="IX. Razna obrtniška dela" sheetId="31" state="hidden" r:id="rId25"/>
  </sheets>
  <externalReferences>
    <externalReference r:id="rId26"/>
  </externalReferences>
  <definedNames>
    <definedName name="aertrgshd">#REF!</definedName>
    <definedName name="agregat" localSheetId="12">#REF!</definedName>
    <definedName name="agregat" localSheetId="7">#REF!</definedName>
    <definedName name="agregat">#REF!</definedName>
    <definedName name="arsh">#REF!</definedName>
    <definedName name="artrgzhm">#REF!</definedName>
    <definedName name="bbb">#REF!</definedName>
    <definedName name="bbbbč">#REF!</definedName>
    <definedName name="dfgsghd">#REF!</definedName>
    <definedName name="dfysgdh">#REF!</definedName>
    <definedName name="Excel_BuiltIn_Print_Area_1" localSheetId="12">#REF!</definedName>
    <definedName name="Excel_BuiltIn_Print_Area_1" localSheetId="7">#REF!</definedName>
    <definedName name="Excel_BuiltIn_Print_Area_1">#REF!</definedName>
    <definedName name="Excel_BuiltIn_Print_Area_1_1">"$#REF!.$A$1:$AMJ$18"</definedName>
    <definedName name="Excel_BuiltIn_Print_Titles_13">"$#REF!.$#REF!$#REF!:$#REF!$#REF!"</definedName>
    <definedName name="Excel_BuiltIn_Print_Titles_4" localSheetId="12">'[1]NEPREDVIDENA GR.DELA'!#REF!</definedName>
    <definedName name="Excel_BuiltIn_Print_Titles_4" localSheetId="7">'[1]NEPREDVIDENA GR.DELA'!#REF!</definedName>
    <definedName name="Excel_BuiltIn_Print_Titles_4">'[1]NEPREDVIDENA GR.DELA'!#REF!</definedName>
    <definedName name="Excel_BuiltIn_Print_Titles_4_1" localSheetId="12">#REF!</definedName>
    <definedName name="Excel_BuiltIn_Print_Titles_4_1" localSheetId="7">#REF!</definedName>
    <definedName name="Excel_BuiltIn_Print_Titles_4_1">#REF!</definedName>
    <definedName name="Excel_BuiltIn_Print_Titles_4_2" localSheetId="12">#REF!</definedName>
    <definedName name="Excel_BuiltIn_Print_Titles_4_2" localSheetId="7">#REF!</definedName>
    <definedName name="Excel_BuiltIn_Print_Titles_4_2">#REF!</definedName>
    <definedName name="Excel_BuiltIn_Print_Titles_4_3" localSheetId="12">#REF!</definedName>
    <definedName name="Excel_BuiltIn_Print_Titles_4_3" localSheetId="7">#REF!</definedName>
    <definedName name="Excel_BuiltIn_Print_Titles_4_3">#REF!</definedName>
    <definedName name="Excel_BuiltIn_Print_Titles_4_4" localSheetId="12">#REF!</definedName>
    <definedName name="Excel_BuiltIn_Print_Titles_4_4" localSheetId="7">#REF!</definedName>
    <definedName name="Excel_BuiltIn_Print_Titles_4_4">#REF!</definedName>
    <definedName name="Excel_BuiltIn_Print_Titles_4_5">"$#REF!.$#REF!$#REF!:$#REF!$#REF!"</definedName>
    <definedName name="Excel_BuiltIn_Print_Titles_8" localSheetId="12">#REF!</definedName>
    <definedName name="Excel_BuiltIn_Print_Titles_8" localSheetId="7">#REF!</definedName>
    <definedName name="Excel_BuiltIn_Print_Titles_8">#REF!</definedName>
    <definedName name="Excel_Bulitin_print_titels_4_4">#REF!</definedName>
    <definedName name="gfshgd">#REF!</definedName>
    <definedName name="izves" localSheetId="12">#REF!</definedName>
    <definedName name="izves" localSheetId="7">#REF!</definedName>
    <definedName name="izves">#REF!</definedName>
    <definedName name="izves_1" localSheetId="12">#REF!</definedName>
    <definedName name="izves_1" localSheetId="7">#REF!</definedName>
    <definedName name="izves_1">#REF!</definedName>
    <definedName name="izves_1_1" localSheetId="12">#REF!</definedName>
    <definedName name="izves_1_1" localSheetId="7">#REF!</definedName>
    <definedName name="izves_1_1">#REF!</definedName>
    <definedName name="izvesek" localSheetId="12">#REF!</definedName>
    <definedName name="izvesek" localSheetId="7">#REF!</definedName>
    <definedName name="izvesek">#REF!</definedName>
    <definedName name="oddusek" localSheetId="12">#REF!</definedName>
    <definedName name="oddusek" localSheetId="7">#REF!</definedName>
    <definedName name="oddusek">#REF!</definedName>
    <definedName name="opo">#REF!</definedName>
    <definedName name="oprema" localSheetId="12">#REF!</definedName>
    <definedName name="oprema" localSheetId="7">#REF!</definedName>
    <definedName name="oprema">#REF!</definedName>
    <definedName name="_xlnm.Print_Area" localSheetId="20">' V. Pred. stene in spušč. str.'!$A$1:$F$24</definedName>
    <definedName name="_xlnm.Print_Area" localSheetId="15">'B. OBRTNIŠKA DELA'!$A$1:$D$29</definedName>
    <definedName name="_xlnm.Print_Area" localSheetId="1">'GLAVNA REKAPITULACIJA'!$A$1:$E$62</definedName>
    <definedName name="_xlnm.Print_Area" localSheetId="16">'I. Krovsko kleparska dela'!$A$1:$F$26</definedName>
    <definedName name="_xlnm.Print_Area" localSheetId="9">'I.Ključavničarska dela'!$A$1:$F$25</definedName>
    <definedName name="_xlnm.Print_Area" localSheetId="3">'I.Pripravljalna +rusitvena dela'!$A$1:$F$77</definedName>
    <definedName name="_xlnm.Print_Area" localSheetId="17">'II. Klučavničarska dela'!$A$1:$F$30</definedName>
    <definedName name="_xlnm.Print_Area" localSheetId="10">'II. Urbana oprema'!$A$1:$F$11</definedName>
    <definedName name="_xlnm.Print_Area" localSheetId="4">'II.Zemeljska dela'!$A$1:$F$88</definedName>
    <definedName name="_xlnm.Print_Area" localSheetId="18">'III. Alu in steklarska dela'!$A$1:$F$42</definedName>
    <definedName name="_xlnm.Print_Area" localSheetId="11">'III. Sadilni material'!$A$1:$F$78</definedName>
    <definedName name="_xlnm.Print_Area" localSheetId="14">'III. Tesarska dela'!$A$1:$F$26</definedName>
    <definedName name="_xlnm.Print_Area" localSheetId="5">'III.AB dela'!$A$1:$F$65</definedName>
    <definedName name="_xlnm.Print_Area" localSheetId="19">'IV. Mizarska dela'!$A$1:$F$28</definedName>
    <definedName name="_xlnm.Print_Area" localSheetId="6">'IV.Tesarska dela'!$A$1:$F$43</definedName>
    <definedName name="_xlnm.Print_Area" localSheetId="24">'IX. Razna obrtniška dela'!$A$1:$F$56</definedName>
    <definedName name="_xlnm.Print_Area" localSheetId="0">REKAPITULACIJA!$A$1:$D$22</definedName>
    <definedName name="_xlnm.Print_Area" localSheetId="12">'tehnologija fontane'!$A$1:$F$137</definedName>
    <definedName name="_xlnm.Print_Area" localSheetId="7">'V.Zidarska  dela'!$A$1:$F$58</definedName>
    <definedName name="_xlnm.Print_Area" localSheetId="21">'VI. Keramičarska dela'!$A$1:$F$18</definedName>
    <definedName name="_xlnm.Print_Area" localSheetId="8">'VI. oporni zid sanacija'!$A$1:$F$80</definedName>
    <definedName name="_xlnm.Print_Area" localSheetId="22">'VII. Fasaderska dela'!$A$1:$F$18</definedName>
    <definedName name="_xlnm.Print_Area" localSheetId="23">'VIII. Slikopleskarska dela'!$A$1:$F$14</definedName>
    <definedName name="q1w">#REF!</definedName>
    <definedName name="svetilka" localSheetId="12">#REF!</definedName>
    <definedName name="svetilka" localSheetId="7">#REF!</definedName>
    <definedName name="svetilka">#REF!</definedName>
    <definedName name="_xlnm.Print_Titles" localSheetId="15">'B. OBRTNIŠKA DELA'!#REF!</definedName>
    <definedName name="_xlnm.Print_Titles" localSheetId="16">'I. Krovsko kleparska dela'!$3:$3</definedName>
    <definedName name="_xlnm.Print_Titles" localSheetId="9">'I.Ključavničarska dela'!$5:$5</definedName>
    <definedName name="_xlnm.Print_Titles" localSheetId="17">'II. Klučavničarska dela'!$3:$3</definedName>
    <definedName name="_xlnm.Print_Titles" localSheetId="13">'II. Zidarska dela'!$3:$3</definedName>
    <definedName name="_xlnm.Print_Titles" localSheetId="4">'II.Zemeljska dela'!$3:$3</definedName>
    <definedName name="_xlnm.Print_Titles" localSheetId="18">'III. Alu in steklarska dela'!$3:$3</definedName>
    <definedName name="_xlnm.Print_Titles" localSheetId="5">'III.AB dela'!$3:$3</definedName>
    <definedName name="_xlnm.Print_Titles" localSheetId="6">'IV.Tesarska dela'!$3:$3</definedName>
    <definedName name="_xlnm.Print_Titles" localSheetId="24">'IX. Razna obrtniška dela'!$3:$3</definedName>
    <definedName name="_xlnm.Print_Titles" localSheetId="7">'V.Zidarska  dela'!$3:$3</definedName>
    <definedName name="_xlnm.Print_Titles" localSheetId="8">'VI. oporni zid sanacija'!$3:$3</definedName>
    <definedName name="_xlnm.Print_Titles" localSheetId="22">'VII. Fasaderska dela'!$3:$3</definedName>
    <definedName name="totem" localSheetId="12">#REF!</definedName>
    <definedName name="totem" localSheetId="7">#REF!</definedName>
    <definedName name="totem">#REF!</definedName>
    <definedName name="totem_1" localSheetId="12">#REF!</definedName>
    <definedName name="totem_1" localSheetId="7">#REF!</definedName>
    <definedName name="totem_1">#REF!</definedName>
    <definedName name="totem_1_1" localSheetId="12">#REF!</definedName>
    <definedName name="totem_1_1" localSheetId="7">#REF!</definedName>
    <definedName name="totem_1_1">#REF!</definedName>
    <definedName name="totm" localSheetId="12">#REF!</definedName>
    <definedName name="totm" localSheetId="7">#REF!</definedName>
    <definedName name="totm">#REF!</definedName>
    <definedName name="totm_1" localSheetId="12">#REF!</definedName>
    <definedName name="totm_1" localSheetId="7">#REF!</definedName>
    <definedName name="totm_1">#REF!</definedName>
    <definedName name="totm_1_1" localSheetId="12">#REF!</definedName>
    <definedName name="totm_1_1" localSheetId="7">#REF!</definedName>
    <definedName name="totm_1_1">#REF!</definedName>
    <definedName name="wears">#REF!</definedName>
    <definedName name="xxx">#REF!</definedName>
    <definedName name="Z_7436FCA8_7F1C_45A5_B750_3A20953886E2_.wvu.PrintArea" localSheetId="1" hidden="1">'GLAVNA REKAPITULACIJA'!$A$1:$F$37</definedName>
    <definedName name="Z_F2345F8D_F31A_44E0_BD6C_943AF90F6976_.wvu.PrintArea" localSheetId="1" hidden="1">'GLAVNA REKAPITULACIJA'!$A$1:$F$37</definedName>
    <definedName name="zastavka" localSheetId="12">#REF!</definedName>
    <definedName name="zastavka" localSheetId="7">#REF!</definedName>
    <definedName name="zastavka">#REF!</definedName>
    <definedName name="zpupi">#REF!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0" i="2" l="1"/>
  <c r="F42" i="4" l="1"/>
  <c r="D58" i="6"/>
  <c r="D44" i="8"/>
  <c r="F18" i="4" l="1"/>
  <c r="D19" i="7" l="1"/>
  <c r="D25" i="7"/>
  <c r="D30" i="7"/>
  <c r="D33" i="7"/>
  <c r="D28" i="7"/>
  <c r="D46" i="50"/>
  <c r="D44" i="50" s="1"/>
  <c r="D45" i="50"/>
  <c r="F44" i="50" l="1"/>
  <c r="F42" i="50" l="1"/>
  <c r="F17" i="50"/>
  <c r="F16" i="50"/>
  <c r="F22" i="50" l="1"/>
  <c r="F23" i="50"/>
  <c r="F135" i="52"/>
  <c r="F133" i="52"/>
  <c r="F127" i="52"/>
  <c r="F119" i="52"/>
  <c r="F108" i="52"/>
  <c r="F90" i="52"/>
  <c r="F80" i="52"/>
  <c r="F74" i="52"/>
  <c r="F65" i="52"/>
  <c r="F51" i="52"/>
  <c r="F42" i="52"/>
  <c r="F26" i="52"/>
  <c r="F20" i="52"/>
  <c r="F40" i="50"/>
  <c r="F39" i="50"/>
  <c r="F38" i="50"/>
  <c r="F84" i="5" l="1"/>
  <c r="D36" i="7" l="1"/>
  <c r="D50" i="5"/>
  <c r="D49" i="5"/>
  <c r="D48" i="5"/>
  <c r="D47" i="5" s="1"/>
  <c r="F47" i="5" s="1"/>
  <c r="D45" i="5"/>
  <c r="D44" i="5"/>
  <c r="D41" i="5" s="1"/>
  <c r="F41" i="5" s="1"/>
  <c r="D43" i="5"/>
  <c r="D76" i="8"/>
  <c r="D37" i="5"/>
  <c r="D38" i="5"/>
  <c r="D39" i="5"/>
  <c r="D36" i="5" s="1"/>
  <c r="F36" i="5" s="1"/>
  <c r="D56" i="5"/>
  <c r="D55" i="5"/>
  <c r="D54" i="5"/>
  <c r="D52" i="5" s="1"/>
  <c r="F52" i="5" s="1"/>
  <c r="F76" i="15"/>
  <c r="D34" i="50"/>
  <c r="D33" i="50"/>
  <c r="D32" i="50"/>
  <c r="D31" i="50" s="1"/>
  <c r="F31" i="50" s="1"/>
  <c r="F25" i="50"/>
  <c r="F19" i="50"/>
  <c r="D13" i="50"/>
  <c r="D8" i="50"/>
  <c r="D27" i="7"/>
  <c r="D26" i="7"/>
  <c r="D32" i="7"/>
  <c r="D31" i="7"/>
  <c r="F30" i="7" s="1"/>
  <c r="D22" i="7"/>
  <c r="D20" i="7"/>
  <c r="D16" i="7" s="1"/>
  <c r="D18" i="7"/>
  <c r="D17" i="7"/>
  <c r="D14" i="7"/>
  <c r="D13" i="7"/>
  <c r="D12" i="7"/>
  <c r="D11" i="7"/>
  <c r="D10" i="7" s="1"/>
  <c r="F86" i="5"/>
  <c r="D86" i="5"/>
  <c r="D34" i="5"/>
  <c r="D33" i="5"/>
  <c r="D32" i="5" s="1"/>
  <c r="D29" i="5"/>
  <c r="D28" i="5"/>
  <c r="D27" i="5" s="1"/>
  <c r="F19" i="5"/>
  <c r="F40" i="52"/>
  <c r="F39" i="52"/>
  <c r="F38" i="52"/>
  <c r="F37" i="52"/>
  <c r="F36" i="52"/>
  <c r="F35" i="52"/>
  <c r="F34" i="52"/>
  <c r="F33" i="52"/>
  <c r="F32" i="52"/>
  <c r="F31" i="52"/>
  <c r="F30" i="52"/>
  <c r="F29" i="52"/>
  <c r="F28" i="52"/>
  <c r="F27" i="52"/>
  <c r="F24" i="52"/>
  <c r="F23" i="52"/>
  <c r="F22" i="52"/>
  <c r="F21" i="52"/>
  <c r="F18" i="52"/>
  <c r="F17" i="52"/>
  <c r="F16" i="52"/>
  <c r="F15" i="52"/>
  <c r="F14" i="52"/>
  <c r="F13" i="52"/>
  <c r="F12" i="52"/>
  <c r="F11" i="52"/>
  <c r="F10" i="52"/>
  <c r="F9" i="52"/>
  <c r="F8" i="52"/>
  <c r="D25" i="5"/>
  <c r="D24" i="5"/>
  <c r="D23" i="5"/>
  <c r="D13" i="8"/>
  <c r="D15" i="5"/>
  <c r="D16" i="5" s="1"/>
  <c r="D11" i="5"/>
  <c r="F82" i="5"/>
  <c r="F81" i="5"/>
  <c r="F79" i="5"/>
  <c r="F80" i="5"/>
  <c r="F137" i="52" l="1"/>
  <c r="F25" i="7"/>
  <c r="D17" i="5"/>
  <c r="D22" i="5"/>
  <c r="F22" i="5" s="1"/>
  <c r="F17" i="5"/>
  <c r="F16" i="5"/>
  <c r="D41" i="6" l="1"/>
  <c r="D40" i="6"/>
  <c r="D39" i="6"/>
  <c r="C37" i="6"/>
  <c r="C36" i="6"/>
  <c r="C35" i="6"/>
  <c r="D32" i="6"/>
  <c r="C29" i="6"/>
  <c r="D29" i="6" s="1"/>
  <c r="D16" i="6"/>
  <c r="D15" i="6"/>
  <c r="C14" i="6"/>
  <c r="D14" i="6" s="1"/>
  <c r="D69" i="8"/>
  <c r="D74" i="8"/>
  <c r="F74" i="8" s="1"/>
  <c r="D70" i="8"/>
  <c r="D68" i="8" s="1"/>
  <c r="F68" i="8" s="1"/>
  <c r="F76" i="8"/>
  <c r="D72" i="8"/>
  <c r="F72" i="8" s="1"/>
  <c r="D59" i="8"/>
  <c r="F59" i="8" s="1"/>
  <c r="F52" i="8"/>
  <c r="D52" i="8"/>
  <c r="D48" i="8"/>
  <c r="F48" i="8" s="1"/>
  <c r="D24" i="8"/>
  <c r="D23" i="8"/>
  <c r="D22" i="8" s="1"/>
  <c r="F22" i="8" s="1"/>
  <c r="D16" i="8"/>
  <c r="F16" i="8" s="1"/>
  <c r="D26" i="8"/>
  <c r="F9" i="8"/>
  <c r="F50" i="8"/>
  <c r="D14" i="8"/>
  <c r="D12" i="8"/>
  <c r="F66" i="8"/>
  <c r="D62" i="8"/>
  <c r="F62" i="8" s="1"/>
  <c r="D55" i="6"/>
  <c r="D54" i="6"/>
  <c r="D59" i="2"/>
  <c r="D43" i="6" l="1"/>
  <c r="F43" i="6" s="1"/>
  <c r="D35" i="6"/>
  <c r="D27" i="6" s="1"/>
  <c r="F27" i="6" s="1"/>
  <c r="D13" i="6"/>
  <c r="F26" i="8"/>
  <c r="F44" i="8"/>
  <c r="D11" i="8"/>
  <c r="F11" i="8" s="1"/>
  <c r="D52" i="15"/>
  <c r="F52" i="15" s="1"/>
  <c r="F54" i="15"/>
  <c r="D54" i="15"/>
  <c r="D50" i="15"/>
  <c r="F50" i="15" s="1"/>
  <c r="D48" i="15"/>
  <c r="F48" i="15" s="1"/>
  <c r="F46" i="15"/>
  <c r="F44" i="15"/>
  <c r="F42" i="15"/>
  <c r="D74" i="15" l="1"/>
  <c r="D68" i="15" s="1"/>
  <c r="F68" i="15" s="1"/>
  <c r="F66" i="15" l="1"/>
  <c r="D62" i="15"/>
  <c r="F62" i="15" s="1"/>
  <c r="F40" i="15"/>
  <c r="F38" i="15"/>
  <c r="F60" i="15"/>
  <c r="F58" i="15"/>
  <c r="F36" i="15"/>
  <c r="F33" i="15"/>
  <c r="F30" i="15"/>
  <c r="D27" i="15"/>
  <c r="F27" i="15" s="1"/>
  <c r="D23" i="15"/>
  <c r="F23" i="15" s="1"/>
  <c r="F9" i="14"/>
  <c r="F7" i="14"/>
  <c r="D21" i="12"/>
  <c r="D20" i="12"/>
  <c r="F23" i="12"/>
  <c r="F55" i="50"/>
  <c r="F54" i="50"/>
  <c r="D12" i="50"/>
  <c r="F12" i="50" s="1"/>
  <c r="F8" i="50"/>
  <c r="F11" i="6"/>
  <c r="D69" i="5"/>
  <c r="D75" i="5"/>
  <c r="D74" i="5"/>
  <c r="D71" i="5"/>
  <c r="D70" i="5"/>
  <c r="D72" i="5" s="1"/>
  <c r="D73" i="5" s="1"/>
  <c r="D68" i="5"/>
  <c r="D66" i="5"/>
  <c r="D67" i="5"/>
  <c r="D65" i="5"/>
  <c r="D64" i="5"/>
  <c r="F61" i="5"/>
  <c r="F78" i="15" l="1"/>
  <c r="F56" i="50"/>
  <c r="D19" i="12"/>
  <c r="F58" i="50"/>
  <c r="F11" i="14"/>
  <c r="D63" i="5"/>
  <c r="F63" i="5" s="1"/>
  <c r="F11" i="5"/>
  <c r="D55" i="4"/>
  <c r="F55" i="4" s="1"/>
  <c r="F74" i="4"/>
  <c r="F65" i="4"/>
  <c r="F64" i="4"/>
  <c r="F63" i="4"/>
  <c r="F72" i="4"/>
  <c r="D70" i="4"/>
  <c r="F70" i="4" s="1"/>
  <c r="D68" i="4"/>
  <c r="F68" i="4" s="1"/>
  <c r="F58" i="4"/>
  <c r="F60" i="4"/>
  <c r="F51" i="4"/>
  <c r="D35" i="7" l="1"/>
  <c r="F19" i="12"/>
  <c r="F59" i="5" l="1"/>
  <c r="F49" i="4"/>
  <c r="F16" i="4"/>
  <c r="F39" i="7" l="1"/>
  <c r="F78" i="8" l="1"/>
  <c r="F80" i="8" s="1"/>
  <c r="D58" i="2" l="1"/>
  <c r="F35" i="7" l="1"/>
  <c r="F27" i="5"/>
  <c r="F44" i="4"/>
  <c r="F40" i="4"/>
  <c r="F14" i="4"/>
  <c r="F12" i="4"/>
  <c r="F25" i="12"/>
  <c r="D56" i="2" s="1"/>
  <c r="F10" i="7" l="1"/>
  <c r="F16" i="7"/>
  <c r="F32" i="5"/>
  <c r="F88" i="5" s="1"/>
  <c r="F13" i="6" l="1"/>
  <c r="F58" i="6"/>
  <c r="F43" i="7"/>
  <c r="D50" i="2" s="1"/>
  <c r="F77" i="4"/>
  <c r="D47" i="2" s="1"/>
  <c r="D48" i="2"/>
  <c r="F5" i="31"/>
  <c r="F7" i="31"/>
  <c r="F9" i="31"/>
  <c r="F11" i="31"/>
  <c r="F13" i="31"/>
  <c r="F15" i="31"/>
  <c r="F17" i="31"/>
  <c r="F19" i="31"/>
  <c r="F21" i="31"/>
  <c r="F23" i="31"/>
  <c r="F25" i="31"/>
  <c r="F27" i="31"/>
  <c r="F29" i="31"/>
  <c r="F31" i="31"/>
  <c r="F33" i="31"/>
  <c r="F35" i="31"/>
  <c r="F37" i="31"/>
  <c r="F41" i="31"/>
  <c r="F43" i="31"/>
  <c r="F45" i="31"/>
  <c r="F47" i="31"/>
  <c r="F49" i="31"/>
  <c r="F51" i="31"/>
  <c r="F53" i="31"/>
  <c r="F5" i="30"/>
  <c r="F7" i="30"/>
  <c r="F9" i="30"/>
  <c r="F11" i="30"/>
  <c r="F7" i="29"/>
  <c r="F9" i="29"/>
  <c r="F11" i="29"/>
  <c r="F13" i="29"/>
  <c r="F15" i="29"/>
  <c r="F5" i="28"/>
  <c r="F7" i="28"/>
  <c r="F9" i="28"/>
  <c r="F11" i="28"/>
  <c r="F13" i="28"/>
  <c r="F15" i="28"/>
  <c r="F7" i="27"/>
  <c r="F9" i="27"/>
  <c r="F11" i="27"/>
  <c r="F13" i="27"/>
  <c r="F15" i="27"/>
  <c r="F17" i="27"/>
  <c r="F19" i="27"/>
  <c r="F21" i="27"/>
  <c r="F9" i="26"/>
  <c r="F11" i="26"/>
  <c r="F13" i="26"/>
  <c r="F15" i="26"/>
  <c r="F17" i="26"/>
  <c r="F19" i="26"/>
  <c r="F23" i="26"/>
  <c r="F25" i="26"/>
  <c r="F9" i="25"/>
  <c r="F11" i="25"/>
  <c r="F13" i="25"/>
  <c r="F15" i="25"/>
  <c r="F17" i="25"/>
  <c r="F21" i="25"/>
  <c r="F23" i="25"/>
  <c r="F25" i="25"/>
  <c r="F27" i="25"/>
  <c r="F29" i="25"/>
  <c r="F31" i="25"/>
  <c r="F33" i="25"/>
  <c r="F37" i="25"/>
  <c r="F39" i="25"/>
  <c r="F7" i="24"/>
  <c r="F11" i="24"/>
  <c r="F13" i="24"/>
  <c r="F15" i="24"/>
  <c r="F17" i="24"/>
  <c r="F19" i="24"/>
  <c r="F21" i="24"/>
  <c r="F23" i="24"/>
  <c r="F25" i="24"/>
  <c r="F27" i="24"/>
  <c r="F7" i="23"/>
  <c r="F9" i="23"/>
  <c r="F11" i="23"/>
  <c r="F13" i="23"/>
  <c r="F15" i="23"/>
  <c r="F17" i="23"/>
  <c r="F19" i="23"/>
  <c r="F21" i="23"/>
  <c r="F23" i="23"/>
  <c r="F7" i="21"/>
  <c r="F9" i="21"/>
  <c r="F11" i="21"/>
  <c r="F13" i="21"/>
  <c r="F15" i="21"/>
  <c r="F19" i="21"/>
  <c r="F20" i="21"/>
  <c r="F21" i="21"/>
  <c r="F23" i="21"/>
  <c r="F7" i="20"/>
  <c r="F9" i="20"/>
  <c r="D11" i="20"/>
  <c r="F11" i="20" s="1"/>
  <c r="F15" i="20"/>
  <c r="F17" i="20"/>
  <c r="F19" i="20"/>
  <c r="F21" i="20"/>
  <c r="F25" i="20"/>
  <c r="F27" i="20"/>
  <c r="F29" i="20"/>
  <c r="F31" i="20"/>
  <c r="F65" i="6" l="1"/>
  <c r="D49" i="2" s="1"/>
  <c r="F42" i="25"/>
  <c r="D14" i="22" s="1"/>
  <c r="F24" i="27"/>
  <c r="D18" i="22" s="1"/>
  <c r="F18" i="29"/>
  <c r="D22" i="22" s="1"/>
  <c r="F14" i="30"/>
  <c r="D24" i="22" s="1"/>
  <c r="F26" i="21"/>
  <c r="F34" i="20"/>
  <c r="F26" i="23"/>
  <c r="D10" i="22" s="1"/>
  <c r="F30" i="24"/>
  <c r="D12" i="22" s="1"/>
  <c r="F28" i="26"/>
  <c r="D16" i="22" s="1"/>
  <c r="F18" i="28"/>
  <c r="D20" i="22" s="1"/>
  <c r="F56" i="31"/>
  <c r="D26" i="22" s="1"/>
  <c r="D57" i="2" l="1"/>
  <c r="D61" i="2" s="1"/>
  <c r="D35" i="2" s="1"/>
  <c r="D52" i="2" l="1"/>
  <c r="D51" i="2"/>
  <c r="D54" i="2" l="1"/>
  <c r="D34" i="2" s="1"/>
  <c r="D39" i="2" l="1"/>
  <c r="D41" i="2" s="1"/>
  <c r="D42" i="2" s="1"/>
</calcChain>
</file>

<file path=xl/sharedStrings.xml><?xml version="1.0" encoding="utf-8"?>
<sst xmlns="http://schemas.openxmlformats.org/spreadsheetml/2006/main" count="1490" uniqueCount="833">
  <si>
    <t>Izvajalec mora izdelati projekt izvajanja betonskih konstrukcij skladno s SIST 13 670: 2010/A101:2010 in novim SIST 1026/2016, ter BBS investitorja in ga predati v potrditev!</t>
  </si>
  <si>
    <t>Jeklena konstrukcija mora biti izdelana in montirana v skladu s projektno dokumentacijo in v skladu z  določili slovenskega standarda: SIST EN 1090-2:2008+A1:2012 “Izvedba jeklenih in aluminijastih konstrukcij – 2. del: Tehnične zahteve za izvedbo jeklenih konstrukcij”, v katerem so navedene splošne zahteve za izdelavo in montažo jeklenih nosilnih konstrukcij, narejenih iz vroče valjanih, vroče obdelanih, varjenih in hladno oblikovanih jeklenih izdelkov.</t>
  </si>
  <si>
    <t>Izvedbeni razred definira nivo tehničnih zahtev za izvedbo jeklenih konstrukcij. Skladno z Aneksom B standarda SIST EN 1090-2:2008+A1:2012; Tabela B.3, je izvedbeni razred konstrukcije EXC3.</t>
  </si>
  <si>
    <t>SPLOŠNE ZAHTEVE ZA IZVEDBO JEKLENIH KONSTRUKCIJ:</t>
  </si>
  <si>
    <t>Izdelava, dobava in montaža okroglih odtocnih cevi fi 80 mm iz jeklene pocinkane barvane plocevine debeline 0,60nmm. Cevi ogrevane.</t>
  </si>
  <si>
    <t>Izdelava, dobava in montaža dvojnih odtocnih kotlickov za odtok z ravne strehe, iz inoks plocevine in zašcitno košarico proti listju. Prikljucek na vertikalno cev fi 80 mm. Ogrevani.</t>
  </si>
  <si>
    <t>Vijačni material, sidra: Vijaki matice, podložke in sidrne palice (navojne palice) ter matice za sidra morajo biti dobavljeni z že serijsko izvedeno protikorozijsko zaščito (cinkani).</t>
  </si>
  <si>
    <t>Betonska dela se morajo izvajati po določilih veljavnih tehničnih predpisov in normativov.</t>
  </si>
  <si>
    <t>Kvaliteta betona mora ustrezati zahtevam opisa del in predpisom glede čistosti agregata, granulacije, količine cementa in vode.</t>
  </si>
  <si>
    <t>Višina prostega pada ne sme biti večja od 1m1. V primeru, da se beton vmetava z večje višine je potrebno preprečiti segregacijo - uporabiti je eno od priznanih metod za vmetavanje betona.</t>
  </si>
  <si>
    <t>Zidarska dela se morajo izvajati po določilih veljavnih tehničnih predpisov in normativov.</t>
  </si>
  <si>
    <t>Površino profilov potrebno zaščiti pred poškodbami (med gradnjo).</t>
  </si>
  <si>
    <t>d) vrata velikosti 90/215 cm. Montaža po detajlu "Fasadni pas 7." Oznaka sheme V19.</t>
  </si>
  <si>
    <t>Izdelava, dobava in montaža predelnih sten v sanitarijah laminirane z ultrapasom zelene barve npr. MAX 0725 FM ( gelbgruen) z inoks podkonstrukcijo. Oznaka sheme PS1, PS2, PS3 in PS4.</t>
  </si>
  <si>
    <t>Doplacilo za izdelavo vrat velikosti 65/200 cm, v predelnih stenah, z WC kljucavnico.</t>
  </si>
  <si>
    <t>Izdelava, dobava in montaža police za vgradni umivalnik, laminirana z ultrapasom temno sive barve, npr. MAX 0761 FN, kompletno s podkonstrukcijo iz inoks profilov in izrezi za umivalnike, ter tesnenjem in kitanjem.</t>
  </si>
  <si>
    <t>a) polica velikosti 150/39 cm, dnevni izrezi za umivalnik.</t>
  </si>
  <si>
    <t>b) polica velikosti 85/39 cm, z enim izrezom za umivalnik.</t>
  </si>
  <si>
    <t>Predelne stene in spuščeni stropi</t>
  </si>
  <si>
    <t>OPOMBA:
V enotnih cenah morajo biti upoštevani vsi izrezi, zakljucki, bandažiranje in kitanje stikov plošc.</t>
  </si>
  <si>
    <t>Dobava in obloga opecnih sten v sestavi
"Z2":
- toplotna izolacija debeline 5 cm, npr. ekspandirani polistiren, lepljen na opecne stene.
- vodoodporne mavcnokartonske plošce debeline 2 x 1,25 cm, s podkonstrukcijo iz CW profilov 50 mm. Stiki plošc bandaži</t>
  </si>
  <si>
    <t xml:space="preserve">Izdelava predelnih sten skupne debeline 10
cm, v sestavi "Z4":
- vodoodporne gips kartonske plošce debeline 2 x 1,25 cm
- zvocna in toplotna izolacija debeline 5 cm, npr. TERVOL DP - 5 med CW profili
50 mm
- vodoodporne gips kartonske plošce debeline 2 x </t>
  </si>
  <si>
    <t xml:space="preserve">Izdelava predelnih sten skupne debeline 20
cm (instalacijska stena) v sestavi "Z4a":
- vodoodporne gips kartonske plošce debeline 2 x 1,25 cm
- zvocna in toplotna izolacija debeline 10 + 5 cm, npr. TERVOL DP - 5, med CW profili 100 in 50 mm
- vodoodporne </t>
  </si>
  <si>
    <t>3.a</t>
  </si>
  <si>
    <t>kot postavka 3., samo instalacijska stena skupne debeline 30 cm. Sestav "Z4b".</t>
  </si>
  <si>
    <t>Dobava in montaža predelnih sten skupne debeline 15 cm, v sestavi "Z6":
- vodoodporne mavcnokartonske plošce debeline 2 x 1,25 cm
- podkonstrukcija iz CW profilov 100 mm
- vodoodporne mavcnokartonske plošce debeline 2 x 1,25 cm. Stiki plošc bandažirani in</t>
  </si>
  <si>
    <t>Dobava in montaža spušcenega stropa v
sestavi "ST2":
- mineralna volna med CW profili debeline 6 cm ( nparimer TERVOL FPPT)
- AL/PE folija ( naprimer GEFITAS AL  1/30G)
- mavcnokartonske plošce debeline 1,5 cm. Stiki plošc bandažirani in kitani.</t>
  </si>
  <si>
    <t>Dobava in montaža tipskih kovinskih ojacitev v stene, za montažo sanitarnih elementov.</t>
  </si>
  <si>
    <t>Izdelava vertikalne zapore ( kaskade) z mavcnokartonskimi plošcami debeline 1,5 cm, s podkonstrukcijo, bandažiranjem in kitanjem stikov. Višina 45 cm.</t>
  </si>
  <si>
    <t>Dobava in polaganje talnih protizdrsnih keramicnih plošcic, z lepljenjem na cementni estrih, kompletno s sticenjem z vodoodbojno fugirno maso. Plošcice velikosti 10/10 cm, tip PRIME ali podobno. Enobarvne, sive barve ( NCS S 6500 - N), cenovnega razreda 2</t>
  </si>
  <si>
    <t>a) vrata velikosti 90/220 cm. Oznaka sheme V01.</t>
  </si>
  <si>
    <t>b) vrata veliksoti 90/257 cm. Oznaka sheme V02.</t>
  </si>
  <si>
    <t>c) vrata velikosti 100/253 cm ( zunanja), krilo na notranji in zunanji strani v celoti prekrito s fasadno alu plocevino, barva RAL 7016 ( tigr barva), tako da okvir krila ni viden. Vrata so poravnana z nivojem fasade. Vrata opremljena s protivlomno cilind</t>
  </si>
  <si>
    <t>d) enako kot postavka 2c., samo vrata velikosti 130/253 cm, požarno odporna EI 30. Oznaka sheme V13.</t>
  </si>
  <si>
    <t>e) enako kot postavka 2c., samo vrata velikosti 90/253 cm. Oznaka sheme V14.</t>
  </si>
  <si>
    <t xml:space="preserve">Izdelava in montaža obrobe venca na
strehi v sestavi:
- alu prašno barvana plocevina debeline 2 mm, v RAL 7016 ( tigr barva), razvite širine 60 cm
- tockovna podkonstrukcija vijacena v OSB plošce
- enoslojna polimer - bitumenska hidroizolacija varjena na </t>
  </si>
  <si>
    <t>Izdelava vertikalnega zakljucka z notranje strani strehe v sestavi:
- ekstrudirani polistiren debeline 5 cm, višine 13 cm, lepljen na beton
- obroba iz alu prašno barvane plocevone debeline 1 mm, RAL 7016 ( tigr barva ) razvite širine 15 cm.</t>
  </si>
  <si>
    <t>Izdelava in montaža krivljene alu barvane plocevine debeline 3 mm, razvite dolžine 23 cm, RAL 7016 ( tigr barva) montirana preko alu omega nosilcev v AB venec. Izdelava po detajlu " Fasadni pas 1".</t>
  </si>
  <si>
    <t>Izdelava in montaža krivljene alu barvane plocevine debeline 1 mm, razvite dolžine 38 cm, vijacena v zidano steno. Barva RAL 7016 ( tiger barva ). Izdelava po detajlu " Fasadni pas 1".</t>
  </si>
  <si>
    <t>Izdelava in montaža obrob ventilacij z barvano alu plocevino debeline 1 mm, razvite širine do 50 cm.</t>
  </si>
  <si>
    <t>Razna manjša in nepredvidena krovsko kleparska dela. Obracun po potrditvi nadzornega organa. Ocena 3 % vrednosti del.</t>
  </si>
  <si>
    <t>eur</t>
  </si>
  <si>
    <t>SPLOŠNI OPIS
Vsi elementi jeklene konstrukcije morajo biti izdelani strokovno in kvalitetno, ter iz materiala in dimenzij, kot je navedeno v analizi konstrukcije. Vsi elementi morajo biti izvedeni in vgrajeni tehnicno pravilno in po pravilih stroke. Sidra</t>
  </si>
  <si>
    <t>Izdelava, dobava in montaža kovinskih stebrov preseka 100/100/5 mm, finalno pleskani. Stebri višine 300 cm.</t>
  </si>
  <si>
    <t>Izdelava in dobava algum predpražnikov, kompletno z alu okvirjem. ( npr EMCO ali enakovredno).</t>
  </si>
  <si>
    <t>a) velikost 100 x 70 cm.</t>
  </si>
  <si>
    <t>b) velikost 120 x 100 cm.</t>
  </si>
  <si>
    <t>Izdelava, dobava in montaža horizontalnih povezav med jeklenimi stebri s kovinskimi profili 80/50/5 mm, varjeni na jeklene stebricke 50/80/5 mm. Finalno pleskani.</t>
  </si>
  <si>
    <t>Izdelava in montaža okvirjev iz krivljene alu prašno barvane plocevine debeline 6 mm, barva RAL 7016 ( tigr barva), širine 30 cm. Velikost 451 x 204 cm.</t>
  </si>
  <si>
    <t>Izdelava, dobava in montaža odkapnih profilov iz krivljene alu barvane plocevine 25/250/3 mm, vijacena v zid.</t>
  </si>
  <si>
    <t>Izdelava, dobava in montaža alu kotnika dimenzije 150/200/6 mm, kot zakljucek tlaka - prag, vijacen v temelj. Vijaki z ugreznjenimi glavami. Glej "Fasadni pas 2".</t>
  </si>
  <si>
    <t>Dobava in leplenje nizkostenske ravne obrobe s keramicnimi plošcicami višine 10 cm.</t>
  </si>
  <si>
    <t>Enako kot postavka 1., samo plošcice v pokritih stojnicah.Zmrzlinsko odporne in kitane z zmrzlinsko odpornim kitom.</t>
  </si>
  <si>
    <t>Doplacilo za eventuelno izvedbo tlaka s kislinoodpornimi plošcicami kitane s kislinoodpornim kitom. ( obcijsko).</t>
  </si>
  <si>
    <t>OPOMBA:
Izvajalec fasad si mora glede na nacrt fasad vracunati morebiten odpadek plošc, ki bo nastal zaradi rezanja plošc na zahtevane formate. Ponudba mora vsebovati ves potreben material in delo za popolno izgotovljene sestave (npr. razrez plošc, vrtanj</t>
  </si>
  <si>
    <t>Dobava materiala in obloga fasade v
sestavi "Z1":
- alu fasadne plošce prašno barvane iz krivljene plocevine debeline 3 mm, s podkonstrukcijo
- zracni medprostor 4 cm
- alu podkonstrukcija iz U profilov 30/40 mm z izrezanimi zatici za obešanje. U profil s</t>
  </si>
  <si>
    <t>Dobava materiala in montaža fasadnih sten
v sestavi "Z5":
- alu fasadne plošce, prašno barvane ( tigr barva) RAL 7016, debeline 3 mm, iz krivljene plocevine, s podkonstrukcijo.
Zunaj plošce brez vidnih pritrdil. Plošce so kaširane na OSB plošce debeline 2</t>
  </si>
  <si>
    <t xml:space="preserve">Dobava materiala in montaža fasadnih sten
v sestavi "Z5a":
- alu fasadne plošce, prašno barvane (tigr barva) RAL 7016, debeline 3 mm, iz krivljene plocevine, s podkonstrukcijo.
Zunaj so plošce brez vidnih pritrdil.
- zracni medprostor med podkonstrukcijo </t>
  </si>
  <si>
    <t>Dobava materiala in montaža fasadnih sten
v sestavi "Z5b":
- alu fasadne plošce, prašno barvane (tigr barva) RAL 7016, debeline 3 mm, iz krivljene plocevine, s podkonstrukcijo.
Zunaj so plošce brez vidnih pritrdil.
- zracni prostor 5 cm - prezracevani pas</t>
  </si>
  <si>
    <t xml:space="preserve"> -Geodetski posnetek in GJI</t>
  </si>
  <si>
    <t xml:space="preserve">KV delavec: </t>
  </si>
  <si>
    <t>PK delavec:</t>
  </si>
  <si>
    <t>Izdelava vertikalne hidroizolacije v sestavi:
- izravnava sten s fino cementno malto debeline 1 cm, zaribana površina
- hladni bitumenski premaz, 0,30 kg/m2
- enoslojna polimer bitumenska hidroizolacija debeline 5 mm, polno varjena (preklopi v predračunsk</t>
  </si>
  <si>
    <t>Zidanje zidov z opeko Porotherm S P+E in z toplotno izolacijsko malto (Baumit Thermomortel 50). Zidanje izvajati v skladu z navodili proizvajalca Wienerberger. Opeko je potrebno pred zidanjem namočiti, da ne bi potegnila vode iz sveže malte ter se s tem o</t>
  </si>
  <si>
    <t>4a.</t>
  </si>
  <si>
    <t>zid debeline 38 cm - Porotherm 38 S P+E - pritličje</t>
  </si>
  <si>
    <t>4b.</t>
  </si>
  <si>
    <t>zid debeline 30 cm - Porotherm 30 S P+E - pritličje</t>
  </si>
  <si>
    <t>4c.</t>
  </si>
  <si>
    <t>zid debeline 20 cm - Porotherm 20/50 S P+E - pritličje</t>
  </si>
  <si>
    <t>4d.</t>
  </si>
  <si>
    <t>zid debeline 12 cm - Porotherm 11,5 P+E - pritličje</t>
  </si>
  <si>
    <t>Dobava in vgrajevanje Porotherm preklad 12/6,5 cm</t>
  </si>
  <si>
    <t>5a.</t>
  </si>
  <si>
    <t>l= 1,25 m - pritličje</t>
  </si>
  <si>
    <t>5b.</t>
  </si>
  <si>
    <t>l=1,75 m - pritličje</t>
  </si>
  <si>
    <t>5c.</t>
  </si>
  <si>
    <t>l=2,25 m - pritličje</t>
  </si>
  <si>
    <t>Dobava in vgrajevanje oz. zalaganje lesocementnih plošč deb. 5 cm, "heraklit" (npr. Novolit) za opaž, pri AB plošči, prekladah in horizontalnih vezeh - plošče v pasovih cca. 15 cm</t>
  </si>
  <si>
    <t>Delovni, lovilni in varovalni odri se ne obračunavajo posebej, če niso navedeni v tem poglavju predračuna.  Te odre je potrebno vkalkulirati v enotne cene postavk.</t>
  </si>
  <si>
    <t>Opaž vertikalnih vezi višine do 3,00 m, z montažo in demontažo - pritličje</t>
  </si>
  <si>
    <t>SKUPAJ AB DELA:</t>
  </si>
  <si>
    <t>SKUPAJ TESARSKA DELA:</t>
  </si>
  <si>
    <t>ur</t>
  </si>
  <si>
    <t>SKUPAJ ZIDARSKA DELA:</t>
  </si>
  <si>
    <t>Krovsko kleparska dela</t>
  </si>
  <si>
    <t>Ključavničarska dela</t>
  </si>
  <si>
    <t>Keramičarska dela</t>
  </si>
  <si>
    <t>VII.</t>
  </si>
  <si>
    <t>Slikopleskarska dela</t>
  </si>
  <si>
    <t>VIII.</t>
  </si>
  <si>
    <t>IX.</t>
  </si>
  <si>
    <t>Razni manjši kovinski izdelki, vroce cinkani in finalno pleskani. Ocena.</t>
  </si>
  <si>
    <t>Izdelava, dobava in montaža policke krivljene alu barvane plocevine debeline 5 mm, RAL 7016 ( tigr barva), vijacena v jeklen profil 50 x 50 x 5 mm. Policka velikosti 50 x 25 + 50 x 5 cm. Izdelava po detajlu " Fasadni pas 3 ".</t>
  </si>
  <si>
    <t>Izdelava in montaža zakljucnega alu barvanega kotnika veliksoti 60 x 60 x 4 mm, vijacenega v podložni beton.</t>
  </si>
  <si>
    <t xml:space="preserve">OPOMBA:
Ponudnik je dolžan pri ponudbi upoštevati vse graficne in tekstualne dele projekta. Vsi delavniški nacrti sodijo v sklop izvajalceve ponudbe in jih potrjuje odgovorni projektant arhitekture med njihovo izdelavo. Vzorce vseh finalnih materialov je </t>
  </si>
  <si>
    <t>Izdelava, dobava in montaža oken izdelanih iz alu prašno barvanih profilov, s prekinjenim toplotnim mostom ( kot naprimer SCHUECO AWS60), barva RAL 7016 ( tigr barva). Zasteklitev dvoslojno termopan steklo U = 1.1W/m2K, steklo brez efekta refleksa. Kljuka</t>
  </si>
  <si>
    <t>a) okno velikosti 106/60 cm, odpiranje na ventus. Oznaka sheme 01.</t>
  </si>
  <si>
    <t>b) okno velikosti 119/60 cm, kombinirano odpiranje. Oznaka sheme 02.</t>
  </si>
  <si>
    <t>c) dvokrilno okno skupne veliksoti 220/60 cm, obe krili kombinirano odpiranje. Oznaka sheme 03.</t>
  </si>
  <si>
    <t>d) dvokrilno okno skupne velikosti 246/60 cm, obe krili kombinirano odpiranje. Oznaka sheme 04.</t>
  </si>
  <si>
    <t>e) dvokrilno okno skupne velikosti 225/203,5 cm, krilo velikosti 103/203,5 cm, drsno odpiranje, drugo fiksno. Na notranji strani vgrajene alu žaluzije. Steklo kaljeno, protivlomno, alu profili tip ASS50. Oznaka sheme 05.</t>
  </si>
  <si>
    <t>Izdelava, dobava in montaža vrat. Podboj alu, barvan v RAL. Krilo alu, barvano v RAL, izdelano brez vidnega okvirja na zunanji strani, na zunanji strani sega cez okvir. V spodnjem delu krila vgrajena prezracevalna rešetka po detajlu. Vrata opremljena z va</t>
  </si>
  <si>
    <t>m2</t>
  </si>
  <si>
    <t>m3</t>
  </si>
  <si>
    <t>kos</t>
  </si>
  <si>
    <t>m1</t>
  </si>
  <si>
    <t>Vse količine pred naročilom obvezno preveri izvajalec del!</t>
  </si>
  <si>
    <t>3.</t>
  </si>
  <si>
    <t>4.</t>
  </si>
  <si>
    <t>5.</t>
  </si>
  <si>
    <t>6.</t>
  </si>
  <si>
    <t>7.</t>
  </si>
  <si>
    <t>8.</t>
  </si>
  <si>
    <t>9.</t>
  </si>
  <si>
    <t>10.</t>
  </si>
  <si>
    <t>11.</t>
  </si>
  <si>
    <t>12.</t>
  </si>
  <si>
    <t>13.</t>
  </si>
  <si>
    <t>14.</t>
  </si>
  <si>
    <t>SKUPAJ ZEMELJSKA DELA:</t>
  </si>
  <si>
    <t>15.</t>
  </si>
  <si>
    <t>16.</t>
  </si>
  <si>
    <t>17.</t>
  </si>
  <si>
    <t>18.</t>
  </si>
  <si>
    <t>19.</t>
  </si>
  <si>
    <t>20.</t>
  </si>
  <si>
    <t>21.</t>
  </si>
  <si>
    <t>22.</t>
  </si>
  <si>
    <t>kg</t>
  </si>
  <si>
    <t>Opaž preklad pravokotnega preseka. S podporami do 2,70 m, z montažo in demontažo.</t>
  </si>
  <si>
    <t xml:space="preserve">Opaž betonske plošce s podporami do 3,00 m. Opaž za gladek beton - plošča stanovanjskega dela
</t>
  </si>
  <si>
    <t xml:space="preserve">Opaž betonske plošce s podporami do 3,00 m. Opaž za gladek vidni beton - plošča garaže
</t>
  </si>
  <si>
    <t>Opaž stranic pri ploščah višine do 25 cm, z montažo in demontažo.</t>
  </si>
  <si>
    <t>Opaž stopnic širine 1,00 m</t>
  </si>
  <si>
    <t>opaž stopniščne rame - vidni beton</t>
  </si>
  <si>
    <t>opaž zrcalnih ploskev</t>
  </si>
  <si>
    <t>opaž čelnih ploskev</t>
  </si>
  <si>
    <t>Lahki premični zidarski odri višine do 3 m. Obračuna 1x tlorisna površina prostorov - pritličje.</t>
  </si>
  <si>
    <t>Alu in steklarska dela</t>
  </si>
  <si>
    <t>Mizarska dela</t>
  </si>
  <si>
    <t>Predelne stene in spuščeni stropovi</t>
  </si>
  <si>
    <t>Fasaderska dela</t>
  </si>
  <si>
    <t>Razna obrtniška dela</t>
  </si>
  <si>
    <t>Ponudnik je dolžan pri ponudbi upoštevati vse graficne in tekstualne dele projekta. Vsi delavniški nacrti sodijo v sklop izvajalceve ponudbe in jih potrjuje odgovorni projektant arhitekture med njihovo izdelavo. Vzorce vseh finalnih materialov je ponudnik</t>
  </si>
  <si>
    <t xml:space="preserve">Dobava in pokrivanje strehe v sestavi S2:
- prani prodec granulacije 16-32 mm, debeline 6 cm
- PES filc 200 g/m2
- ekstrudirani polistiren ( SIST EN 13164) debeline 10 cm, plošce s stopnicastimi preklopi ( spec. gostota min. 35 kg/m3)
- dvoslojna polimer </t>
  </si>
  <si>
    <t>SKUPNA REKAPITULACIJA</t>
  </si>
  <si>
    <t>A.</t>
  </si>
  <si>
    <t>GRADBENA DELA</t>
  </si>
  <si>
    <t>B.</t>
  </si>
  <si>
    <t>OBRTNIŠKA DELA</t>
  </si>
  <si>
    <t>C.</t>
  </si>
  <si>
    <t>ZUNANJA UREDITEV</t>
  </si>
  <si>
    <t>D.</t>
  </si>
  <si>
    <t>ODSTRANJEVALNA DELA</t>
  </si>
  <si>
    <t>E.</t>
  </si>
  <si>
    <t>STROJNE INSTALACIJE</t>
  </si>
  <si>
    <t>F.</t>
  </si>
  <si>
    <t>ELEKTRO INSTALACIJE</t>
  </si>
  <si>
    <t>G.</t>
  </si>
  <si>
    <t>TK PRIKLJUČEK</t>
  </si>
  <si>
    <t>Skupaj brez DDV:</t>
  </si>
  <si>
    <t xml:space="preserve">Investitor:   </t>
  </si>
  <si>
    <t xml:space="preserve">Objekt:      </t>
  </si>
  <si>
    <t>I.</t>
  </si>
  <si>
    <t>II.</t>
  </si>
  <si>
    <t>III.</t>
  </si>
  <si>
    <t>IV.</t>
  </si>
  <si>
    <t>Tesarska dela</t>
  </si>
  <si>
    <t>V.</t>
  </si>
  <si>
    <t>Zidarska dela</t>
  </si>
  <si>
    <t>VI.</t>
  </si>
  <si>
    <t>Post.</t>
  </si>
  <si>
    <t>Opis postavke</t>
  </si>
  <si>
    <t>Enota
mere</t>
  </si>
  <si>
    <t>Količina</t>
  </si>
  <si>
    <t>Cena za
enoto</t>
  </si>
  <si>
    <t>Vrednost (€)</t>
  </si>
  <si>
    <t>1.</t>
  </si>
  <si>
    <t>kpl</t>
  </si>
  <si>
    <t>2.</t>
  </si>
  <si>
    <t>kom</t>
  </si>
  <si>
    <t>Opomba: pri oblikovanju cene za posamezna dela morajo biti vključeni vsi potrebni transporti in material za izvedbo opisanih elementov konstrukcije, vsa pomožna dela in zidarska dela pri obrtniških in instalacijskih delih, potrebni odri ter horizontalni i</t>
  </si>
  <si>
    <t>Izdelava prevleke s fino cementno malto debeline 1 cm, kot podlaga horizontalni hidroizolaciji.</t>
  </si>
  <si>
    <t>Izdelava horizontalne hidroizolacije pod tlaki; vključno z vsemi pomožnimi deli, transporti in zaključki v naslednji sestavi:
- hladni bitumenski premaz, 0,30 kg/m2
- enoslojna polimer - bitumenska hidroizolacija debeline 5 mm, polno varjena s preklopi na</t>
  </si>
  <si>
    <t>Dobava in oblaganje sten, z glaziranimi keramicnimi plošcicami, z leplenjem na pripravljeno podlago, sticenjem z vlagoodbojno fugirno maso in predhodno impregnacijo podlage. Plošcice velikosti 10/10 cm, tip PRIME ali podobno. Enobarvne, bele barve, cenovn</t>
  </si>
  <si>
    <t>Dobava in leplenje tipskih keramicnih zaokrožnic višine 7 cm.</t>
  </si>
  <si>
    <t>SKUPAJ KLJUČAVNIČARSKA DELA:</t>
  </si>
  <si>
    <t>Pred pričetkom izvedbe protikorozijske zaščite izvajalec izdela poseben Elaborat protikorozijske zaščite, ki ga mora predložiti investitorju, proizvajalcu premazov, odgovornemu projektantu in strokovnemu nadzoru v pregled in pisno potrditev. Elaborat protikorozijske zaščite mora poleg izbranega sistema protikorozijske zaščite vsebovati tudi opis načina izvedbe protikorozijske zaščite in plan kontrole kvalitete njene izvedbe.</t>
  </si>
  <si>
    <t xml:space="preserve">Izvajalec slikarskih del mora strogo paziti na to, da s svojim delom ne poškoduje ali onesnaži izdelkov drugih izvajalcev, po potrebi mora le-te ustrezno zaščititi. Izlivanje barv, beleža in drugega slikarskega materiala v vodovodne ali straniščne školjke ni dovoljeno. Za škodo odgovarja izvajalec slikarskih del, prav tako odgovarja za škodo, ki bi nastala zaradi nepazljivosti ali malomarnega dela. Po izvršenem delu mora izvajalec slikarskih del odstraniti ves preostali material. </t>
  </si>
  <si>
    <t>Izdelava, dobava in montaža alu barvanih rešetk, za izpust zraka na fasadi. Rešetka fi 15 cm.</t>
  </si>
  <si>
    <t>Dvakratno glajenje sten in stropov z jubolinkitom.</t>
  </si>
  <si>
    <t>Dvakratno slikanje sten in stropov s disperzijsko barvo za notranje prostore.</t>
  </si>
  <si>
    <t>Slikanje sten s pralno barvo npr. LATEKS, s predhodno pripravo podlage.</t>
  </si>
  <si>
    <t>Miniziranje in finalno pleskanje raznih manjših kljucavnicarskih izdelkov. Ocena.</t>
  </si>
  <si>
    <t>Izdelava in montaža raznih napisnih tablic. Ocena.</t>
  </si>
  <si>
    <t>a) ABC 6 kg</t>
  </si>
  <si>
    <t>b) aparati CO2</t>
  </si>
  <si>
    <t>Finalno cišcenje prostorov pred tehnicnim pregledom in pred primopredajo objekta. Upoštevana netto površina.</t>
  </si>
  <si>
    <t xml:space="preserve">Dobava in montaža držala za toaletni papir, v inoks izvedbi, tip Inda ali podobno. </t>
  </si>
  <si>
    <t xml:space="preserve">Dobava in montaža stenskega dozirnika za tekoce milo npr. Inda ali podobno. </t>
  </si>
  <si>
    <t xml:space="preserve">Dobava in montaža držala za papirnate brisace npr. Inda ali podobno. </t>
  </si>
  <si>
    <t xml:space="preserve">Dobava in montaža obešalnika za obleko, npr. Inda ali podobno. </t>
  </si>
  <si>
    <t xml:space="preserve">Dobava in montaža PVC zavese na inoks cevi. </t>
  </si>
  <si>
    <t>Dobava in montaža PVC talnih sifonov.</t>
  </si>
  <si>
    <t>Dobava in montaža košev za smeti.</t>
  </si>
  <si>
    <t>Dobava in montaža sušilcev za roke.</t>
  </si>
  <si>
    <t>Dobava in montaža pralne preproge pod prho.</t>
  </si>
  <si>
    <t xml:space="preserve">Dobava in montaža police za toaletni papir pod ogledalom. </t>
  </si>
  <si>
    <t xml:space="preserve">Dobava in montaža obešalne kljuke za obleko. </t>
  </si>
  <si>
    <t>Dobava metlice za stranišno školjko.</t>
  </si>
  <si>
    <t>Izdelava, dobava in montaža hladilnice tlorisne velikosti 8 m2, kompletno z vsemi izolativnimi oblogami, elektro in strojno opremo, kompresorjem, zunanjo enoto, krmilnim mehanizmom, vrati, kljucavnico. Cena mora vsebovati tudi izdelavo projektne dokumenta</t>
  </si>
  <si>
    <t>Izdelava, dobava in montaža panelov iz alu prašno barvanih plošc ( kot fasadna obloga) s kovinsko podkonstrukcijo. Paneli so izdelani kot zložljiva vrata, kompletno z vodili in kljucavnico ter celotnim montažnim materialom. Okovje in vodila kvalitete napr</t>
  </si>
  <si>
    <t>a) velikost 325/245 cm. ( štirikrilna)</t>
  </si>
  <si>
    <t>b) velikost 345/245 cm. ( štirikrilna)</t>
  </si>
  <si>
    <t xml:space="preserve">Enako kot postavka 17., samo paneli enostavne izvedbe, z eskscentricnim tecajem in kljuko za fiksiranje odprtega krila. Velikost elementa 193 x 160 cm. ( dvokrilna).
</t>
  </si>
  <si>
    <t>Izdelava in montaža prodajnih pultov iz vlagoodpornih OSB plošc, kaširanih z inoks plocevino, širine 95 cm. Plošca je položena in vijacena na lesene letve 50/50 mm. Izdelava podetajlu "Fasadni pas 3."</t>
  </si>
  <si>
    <t xml:space="preserve">Razna manjša in nepredvidena obrtniška dela. Obracun po potrditvi nadzornega organa. Ocena 5 % vrednosti del. </t>
  </si>
  <si>
    <t xml:space="preserve">Izdelava in montaža nosilne konstrukcije za enote hladilnice na strehi, izvedene iz betonskih kubusov, povezanih z vrocecinkanimi profili. Vse skupaj položeno na ekstrudirani polistirem.
</t>
  </si>
  <si>
    <t>Izdelava in montaža talne inoks pohodne rešetke veliksti 90 x 10 cm, kompletno z inoks okvirjem.</t>
  </si>
  <si>
    <t>SPLOŠNA NAVODILA IN OPOZORILA GLEDE UPORABE NAČRTA</t>
  </si>
  <si>
    <t xml:space="preserve">IZDELAVO PONUDB IN IZVEDBO PROJEKTA JE POTREBNO IZDELATI SKLADNO Z NAČRTOM. NAČRT JE POTREBNO UPOŠTEVATI V CELOTI (RISBE, OPISI IN POPISI). </t>
  </si>
  <si>
    <t>PONUDNIK ALI IZVAJALEC JE DOLŽAN OPOZORITI NA MOREBITNO TEHNIČNO POMANJKLJIVOST IZVEDBENIH DETAJLOV, RISB, OPISOV ALI POPISOV. PREDLOGE POTRDITA ODGOVORNI PROJEKTANT IN INVESTITOR.</t>
  </si>
  <si>
    <t>Enota cene mora vsebovati:</t>
  </si>
  <si>
    <t>vsa potrebna pripravljalna dela</t>
  </si>
  <si>
    <t>vsa potrebna merjenja na objektu</t>
  </si>
  <si>
    <t>vse potrebne transporte do mesta vgrajevanja</t>
  </si>
  <si>
    <t>skladiščenje materiala na gradbišču</t>
  </si>
  <si>
    <t>atestiranje materialov in dokazovanje kvalitete z atesti</t>
  </si>
  <si>
    <t>vso potrebno delo za dokončanje izdelka</t>
  </si>
  <si>
    <t>vsa potrebna pomožna sredstva na objektu kot so lestve, odri ...</t>
  </si>
  <si>
    <t xml:space="preserve">usklajevanje z osnovnim načrtom in posvetovanje s projektantom </t>
  </si>
  <si>
    <t>terminsko usklajevanje del z ostalimi izvajalci na objektu</t>
  </si>
  <si>
    <t>popravilo eventuelne škode povzročene ostalim izvajalcem na gradbišču</t>
  </si>
  <si>
    <t>čiščenje in odvoz odvečnega materiala v stalno deponijo</t>
  </si>
  <si>
    <t>Splošno:</t>
  </si>
  <si>
    <t>Eventuelne prestavitve komunalnih vodov se obračunavajo po dejansko izvršenih delih in so predmet posebnega predračuna.</t>
  </si>
  <si>
    <t>Vsak dan pred pričetkom dela, zlasti po deževnem vremenu, topljenju snega, mraza, se morajo pregledati bočne strani izkopa in opraviti vsi potrebni varnostni ukrepi. Eventuelni stroški iz tega naslova so na strani izvajalca.</t>
  </si>
  <si>
    <t>Beton mora ustrezati standardu SIST EN 206-1:2003 in SIST 1026:2008.</t>
  </si>
  <si>
    <t xml:space="preserve">Konstrukcije iz betona morajo biti ravne, izdelane po opažnem načrtu, brez votlih mest in brez iztekanj cementnega gela na stikih opažev. Nega betona vsebuje zaščito vgrajenega betona do polne trdnosti pred velikim izhlapevanjem vode iz betona, kakor tudi zaščito pred nizkimi temeraturami. </t>
  </si>
  <si>
    <t>Betonska armatura mora biti obdelana v skladu z veljavnimi predpisi in točno po armaturnih načrtih, pritrjena tako, da ostane med betoniranjem na svojem mestu in v zahtevanem položaju.</t>
  </si>
  <si>
    <t xml:space="preserve">Dilatacije oz. delovne prekinitve se izvedejo po projektu gradbenih konstrukcij in arhitekture. </t>
  </si>
  <si>
    <t>Vse betonske površine mora izvajalec predati popolnoma ravne, vse neravnine, ki bi jih bilo eventuelno potrebno izravnati, bodo upoštevane kot nekvalitetene, in jih bo potrebno ponovno izvesti ter gredo na račun izvajalca betonskih del.</t>
  </si>
  <si>
    <t>OPOMBA: Izvedba vseh delovnih stikov in dilatacij mora biti upoštevani v enotni ceni posameznih postavk in se ne obračunavajo posebej!</t>
  </si>
  <si>
    <t>zemeljska dela:</t>
  </si>
  <si>
    <t>betonska dela:</t>
  </si>
  <si>
    <t>Tesarska dela se morajo izvajati po določilih veljavnih tehničnih predpisov in normativov, izvedena tehnično pravilno in po pravilih stroke.</t>
  </si>
  <si>
    <t xml:space="preserve">Opaži morajo biti izdelani točno po načrtu z vsemi potrebnimi podporami, horizontalnimi in vertikalnimi povezavami. Opaž mora prenesti težo in pritisk betona, konstruktivne obremenitve in vibriranje skupaj z opremo. Notranje površine morajo biti čiste in ravne.  </t>
  </si>
  <si>
    <t>Opaži morajo biti izdelani tako, da se razopaženje izvede brez pretresov in poškodovanja konstrucije in samih opažev.</t>
  </si>
  <si>
    <t xml:space="preserve">Obračun opažev temeljev, zidov, stebrov, nosilcev, preklad in plošč se obračunava po opisu posamezne postavke; upoštevajo se površine opažev, to so razvite vidne površine izdelanih konstrukcij. </t>
  </si>
  <si>
    <t>tesarska dela:</t>
  </si>
  <si>
    <t>Ponudnik sam izdela ustrezno projektno dokumentacijo za izvedbo del in delavniške načrte glede na lastno razpoložljivo tehnologijo. Dokumentacijio mora predhodno pred začetkom del posredovati v pregled in potrditev investitorju, nadzoru in projektantu.</t>
  </si>
  <si>
    <t>Vgrajeni materiala za ta dela morajo ustrezati določilom veljavnih tehničnih predpisov in normativov.</t>
  </si>
  <si>
    <t>Vsi bitumenski  materiali uporabljeni za hidroizolacije morajo po kvaliteti in izvedbi ustrezati standardom DIN 18.195, 1-10 del fizikalne karakteristike proizvodov morajo ustrezati zahtevam DIN 52133.</t>
  </si>
  <si>
    <t>Pri vseh talnih hidroizolacijah morajo biti vsi spoji s prebojnimi elementi izvedeni s prirobnicami.</t>
  </si>
  <si>
    <t>Pri oblikovanju cene za posamezno postavko, morajo biti vkalkulirana tudi vsa pomožna dela in zidarska dela pri obrtniških in instalacijskih delih, potrebni odri ter horizontalni in vertikalni prenosi.</t>
  </si>
  <si>
    <t>zidarska dela:</t>
  </si>
  <si>
    <t>Hidroizolacijska dela se sme izvajati samo na kvalitetno izvedeno čvrsto, ravno in suho podlogo. Med izvajanjem in po končani izvedbi hidroizolacijskih del, se ne sme po njej hoditi. Vsa ostala gradbena in obrtniška dela se smejo izvajati samo, če je hidroizolacija zaščitena z ustrezno zaščito.</t>
  </si>
  <si>
    <t xml:space="preserve">Za vse vgrajene materiale mora izvajalec predložiti ateste o kvaliteti materialov, ki jih izda pooblaščeni zavod za tovrstne dejavnosti. </t>
  </si>
  <si>
    <t>Izvedba TI in HI po detajlih izvajalca z ustreznim certifikatom.</t>
  </si>
  <si>
    <t xml:space="preserve">Elementi za vgrajevanje ključavničarskih izdelkov (vijaki, sidra in drugo) morajo biti takih dimenzij in nosilnosti, da ustrezajo obremenitvam, za katere so namenjeni. Vse nosilne elemente je dimenzionirati z analizo konstrukcij. </t>
  </si>
  <si>
    <t xml:space="preserve">Površina posameznih elementov na varjenih stikih mora biti ravna in gladka, brez vzboklin ali vdolbin ter brušena. V vsaki postavki posebej je navedena tudi kvaliteta finalne površinske obdelave. </t>
  </si>
  <si>
    <t xml:space="preserve">ZAŠČITA PRED KOROZIJO
Pri načrtovanju in izvedbi protikorozijske zaščite z barvami je potrebno upoštevati določila skupine standardov SIST EN ISO 12944 (deli 1, 2, 3, 4, 5, 6, 7, 8) Barve in laki – Korozijska zaščita jeklenih konstrukcij z zaščitnimi premaznimi sistemi. Jeklene konstrukcije je potrebno zaščititi z barvami, ki zagotavljajo visoko H trajnost (več kot 15 let) protikorozijske zaščite.
</t>
  </si>
  <si>
    <t>Vsa dela morajo biti izvedena tehnično pravilno in po pravilih stroke, po določilih veljavnih normativov in tehničnih predpisov za polaganje.</t>
  </si>
  <si>
    <t>Slikopleskarska in pleskarska dela morajo biti izvedena po opisih iz kvalitetnega materiala in v skladu z veljavnimi tehnicnim predpisi in standardi za ta dela. Vsa dela je izdelati tehnično pravilno in po pravilih stroke.</t>
  </si>
  <si>
    <t xml:space="preserve">Material mora biti kvaliteten, pravilno pakiran in pravilno shranjen. Na željo investitorja in projektanta mora izvajalec del dati na vpogled vzorce in po izbranih vzorcih naročiti material in izvesti slikopleskarska dela. </t>
  </si>
  <si>
    <t xml:space="preserve">Tolerance gladkosti in enakomernosti površin morajo ustrezati standardu DIN 18202, tabela 3, povečane zahteve. </t>
  </si>
  <si>
    <t>Barva se mora dobro sprijemati s podlago, površina izvedenega premaza mora biti enakomerne strukture in ne sme menjati tona barve. Nanaša se na podlago pripravljeno po navodilu proizvajalca barve.</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</si>
  <si>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</si>
  <si>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</si>
  <si>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f) enako kot postavka 2 c., samo vrata velikosti 90/245 cm, brez zvocne in toplotne izolacije. Oznaka sheme V20.</t>
  </si>
  <si>
    <t>Izdelava, dobava in montaža notranjih okenskih polic iz umetne mase bele barve. Debelina 2 cm, širina 25 cm.</t>
  </si>
  <si>
    <t>Dobava in montaža ogledala na stene v sanitarijah.</t>
  </si>
  <si>
    <t>a) velikost 140/80 cm.</t>
  </si>
  <si>
    <t>b) velikost 85/100 cm.</t>
  </si>
  <si>
    <t>Izdelava, dobava in montaža notranjih suhomontažnih vrat. Podboj lesen, suhomontažni, belo pleskan. Krilo leseno, barvano z belo barvo. Vrata opremljena s kljucavnico, kljuko, mehanizmom za odpiranje v mat krom izvedbi, tesnili in blažilniki. Upoštevane z</t>
  </si>
  <si>
    <t>a) vrata velikosti 100/220 cm, z vzmetnim samozapiralom, z vgrajeno alu barvano rešetko velikosti 50/10 cm, v spodnjem delu krila. Oznaka sheme V03, V04,VO5, VO6.</t>
  </si>
  <si>
    <t>b) vrata velikosti 90/220 cm, z vgrajeno alu barvano rešetko velikosti 50/10 cm, v spodnjem delu krila. Oznaka sheme V07, VO8.</t>
  </si>
  <si>
    <t>c) vrata velikosti 90/220 cm, z vgrajeno alu rešetko v spodnjem delu krila. Oznaka sheme VO9.</t>
  </si>
  <si>
    <t>Št. projekta:</t>
  </si>
  <si>
    <t>Izdelano:</t>
  </si>
  <si>
    <t>OPOZORILA</t>
  </si>
  <si>
    <t xml:space="preserve">Popis je narejen na osnovi PZI projekta, sestavni del popisa je načrt arhitekure, komplet grafični in tekstualni del. </t>
  </si>
  <si>
    <t>Izvajalec je dolžan pred pričetkom del pregledati PZI projektno</t>
  </si>
  <si>
    <t xml:space="preserve">dokumentacijo (načrt arhitekture, konstrukcije, instalacij…) in obvestiti </t>
  </si>
  <si>
    <t xml:space="preserve">projektanta o morebitnih pomanjkljivostih oziroma neskladjih med </t>
  </si>
  <si>
    <t>projektom in popisom del !</t>
  </si>
  <si>
    <t>Ob vseh spremembah in odstopanjih je potrebno soglasje arhitekta!</t>
  </si>
  <si>
    <t xml:space="preserve">GENERALNE ZAHTEVE:
</t>
  </si>
  <si>
    <t xml:space="preserve">pri vseh postavkah smiselno upoštevati:
</t>
  </si>
  <si>
    <t xml:space="preserve"> - izvedba skladno z lokalno zakonodajo, gradbeno stroko, pravili o varčni gradnji in dobro inženirsko prakso
 - glavni izvajalec se obvezuje, da po vgradnji na mestu priključi vse naprave in preveri ustreznost vgradnje s predpisi
 - celotna izvedba mora bti skladna z lokalnimi zakoni in gradbenimi predpisi ter mora na podlagi veljavnih standardov potekati s strani pooblaščenih podjetij in v skladu z najnovejšo tehnologijo</t>
  </si>
  <si>
    <t>OCENA VREDNOSTI MATERIALA IN DEL</t>
  </si>
  <si>
    <t xml:space="preserve">REKAPITULACIJA </t>
  </si>
  <si>
    <t>A - GRADBENA DELA</t>
  </si>
  <si>
    <t>B - OBRTNIŠKA DELA</t>
  </si>
  <si>
    <t xml:space="preserve">D - ELEKTRO INSTALACIJE </t>
  </si>
  <si>
    <t xml:space="preserve">E - STROJNE INSTALACIJE </t>
  </si>
  <si>
    <t>SKUPAJ:</t>
  </si>
  <si>
    <t xml:space="preserve"> + 22 % DDV</t>
  </si>
  <si>
    <t>SKUPAJ :</t>
  </si>
  <si>
    <t>REKAPITULACIJA GRADBENO-OBRTNIŠKIH DEL</t>
  </si>
  <si>
    <t>Cena/
enoto</t>
  </si>
  <si>
    <t>vrednost</t>
  </si>
  <si>
    <t>zajeto mora biti mdr.:</t>
  </si>
  <si>
    <t>VAROVANJE GRADBIŠČA</t>
  </si>
  <si>
    <t>SKUPAJ PRIPRAVLJALNA IN RUŠITVENA DELA:</t>
  </si>
  <si>
    <t>Pripravljalna in rušitvena dela</t>
  </si>
  <si>
    <t>PRIPRAVLJALNA DELA</t>
  </si>
  <si>
    <t xml:space="preserve">OPREMA, STROŠKI: (Izvedba in storitev obsegajo postavitev v brezhibno in uporabno stanje, vključno z dostavo, postavitvijo in montažo, kot tudi razgradnjo, demontažo in odnos z gradbišča ter vse stroške delovana v času gradnje, v aktivnem in mirujočem stanju.)
Dobava, postavitev, odstranitev in najemnina ročnih gasilnih aparatov in opreme
Dobava, postavitev, odstranitev in najemnina sanitarij (sanitarnih kabin) - ustrezno število kemo stranišč brez priključkov za vodo in odpadno vodo, zagotavljanje v času gradnje, vključno z dnevnim čiščenjem in z potrošnim materialom (npr. toaletni papir, brisače).
Komplet stroški vzdrževanja gradbišča za čas gradnje vključno s stroški izvajanja del za zagotavljajnje zdravja in varstva pri delu, vključno s stroški za vodenje gradbišča - za izvedbo in funkcionalnost gradbišča poskrbi glavni vodja gradbišča oz. vodja del za posamezne faze del na gradbišču
</t>
  </si>
  <si>
    <t>INSTALACIJSKI PRIKLJUČKI: 
- gradbiščni vodovodni priključek s števcem in gradbiščna vodovodna napeljava, Stroški za porabo vode na gradbišču. Začasna oskrba z vodo ali možnost priključka, vključno z priključnimi cevmi do obstoječega omrežja na gradbišču z vodomerom. Vodovodne cevi odporne na mraz. Vložitev zahtevka in pregled takse so vključi v enotno ceno. Vodni priključek fi 25 oz. po potrebi gradbišča, izvedba, delovanje/uporaba
- gradbiščni telefonski priključek in aparati, 
- gradbiščna elektro omarica s priključno varovalko 40A in števcem in začasni kabelski razvod po gradbišču, Stroški za porabo elektrike na gradbišču, vključno z dobavo, postavitvijo in demontažo elektro omaric na ključ z razdelilcem za različne izvajalce z števci in varvalkami, vključno z postavitvijo in priključkom na mrežo</t>
  </si>
  <si>
    <t>PROMETNI ZNAKI: Ureditev prometnih znakov po slovenskih predpisih in določilih s strani naročnika ali po zahtevah, ki jih določi izvajalec. Nosilna konstrukcija po izbiri izvajalca, ki so vključena v enotno ceno. Znaki (npr. opozorilni znaki, kažipoti), ne glede na material, vsebino ali grafiko, pritrditev v predelu gradbišča na dele objekta ali ogrodje, montaža vključno z nosilno konstrukcijo. dobava, postavitev, uporaba, demontaža.</t>
  </si>
  <si>
    <t xml:space="preserve">RAVNANJE Z GRADBENIMI ODPADKI: ravnanje z gradbenimi odpadki in zemeljskimi izkopi v skladu z Uredbo o ravnanju z odpadki, ki nastanejo pri gradbenih delih - izvajalec je dolžan investitorju pred pričetkom del posredovati podatke o prevzemniku odpadkov ter sprotno  posredovati evidenčne liste, voditi evidenco  o vrstah in količinah gradbenih odpadkov  ter izdelati Poročilo o  gospodarjenju z gradbenimi odpadki za potrebe  pridobitve uporabnega dovoljenja. </t>
  </si>
  <si>
    <t>Jeklena konstrukcija mora biti izdelana in montirana v skladu s projektno dokumentacijo in v 
skladu z  določili slovenskega standarda: SIST EN 1090-2:2008+A1:2012 “Izvedba jeklenih in aluminijastih konstrukcij – 2. del: Tehnične zahteve za izvedbo jeklenih konstrukcij”, v katerem so navedene splošne zahteve za izdelavo in montažo jeklenih nosilnih konstrukcij, narejenih iz vroče valjanih, vroče obdelanih, varjenih in hladno oblikovanih jeklenih izdelkov.</t>
  </si>
  <si>
    <t xml:space="preserve"> + 25% materiala</t>
  </si>
  <si>
    <t xml:space="preserve"> - vzidave elementov, katerih dobava je zajeta v postavkah zaključnih gradbenih in inštalacijskih del</t>
  </si>
  <si>
    <t xml:space="preserve"> - ostala drobna dela kot pomoč obrtnikom in inštalaterjem</t>
  </si>
  <si>
    <t>A-00 - PRIPRAVLJALNA IN RUŠITVENA DELA</t>
  </si>
  <si>
    <t>A-02 - BETONERSKA DELA</t>
  </si>
  <si>
    <t>A-03 - TESARSKA DELA</t>
  </si>
  <si>
    <t>A-04 - ZIDARSKA DELA</t>
  </si>
  <si>
    <t>Vse mere je potrebno pred izdelavo elementov in vgradnjo preveriti 
na mestu samem!</t>
  </si>
  <si>
    <t>Ponudnik mora podati na vpogled in v potrditev vzorce vseh materialov in elementov, predvidenih za vgradnjo minimalno 14 dni pred vgradnjo. Brez potrditve vgradnja materialov in elementov  ni dopustna, v primeru vgradnje nepotrjenih materialov in elementov, pa bo izvajalec na svoje stroške te materiale oz.  elemente odstranil.</t>
  </si>
  <si>
    <t>OPOMBA: Izvedba vseh delovnih stikov in dilatacij mora biti upoštevana v enotni ceni posameznih postavk in se ne obračunavajo posebej!</t>
  </si>
  <si>
    <t xml:space="preserve"> -prerez 0,20 - 0,30 m3/m2,m1</t>
  </si>
  <si>
    <t>ARMATURA</t>
  </si>
  <si>
    <t xml:space="preserve">Pri vseh postavkah opažev velja: </t>
  </si>
  <si>
    <t xml:space="preserve"> - postavitev odra</t>
  </si>
  <si>
    <t xml:space="preserve"> - odstranitev odra</t>
  </si>
  <si>
    <t xml:space="preserve"> 1.1</t>
  </si>
  <si>
    <t xml:space="preserve"> 1.2</t>
  </si>
  <si>
    <t xml:space="preserve"> - horizontalna HI </t>
  </si>
  <si>
    <t>Izvedbeni razred definira nivo tehničnih zahtev za izvedbo jeklenih konstrukcij. Skladno z Aneksom B standarda SIST EN 1090-2:2008+A1:2012; Tabela B.3, je izvedbeni razred konstrukcije EXC2.</t>
  </si>
  <si>
    <t>Vsa zemeljska dela se morajo izvajati po določilih veljavnih tehničnih predpisov in normativov..</t>
  </si>
  <si>
    <t>Pripravljalna in zaključna dela, vse potrebne meritve na objektu in potrebna zarisovanja mora izvajalec vkalkulirati v enotne cene.</t>
  </si>
  <si>
    <t>Posamezni preboji se naročijo/preverijo ob izvedbi, ko investitor dokončno potrdi opremo oz. tehnologijo.</t>
  </si>
  <si>
    <t>ključavničar-
ska dela:</t>
  </si>
  <si>
    <t>slikopleskar-
ska dela:</t>
  </si>
  <si>
    <t>OSVETLITEV: (dobava, postavitev, uporaba, demontaža)
Zunanja osvetlitev poti gradbišča. Osvetljenost vseh luči najmanj 7 Lux, vse luči, stikala in kabli so vključeni v enotno ceno. Instalacijski material je last izvajalca. 
Notranja osvetlitev poti v stavbah (npr. hodniki, prehodi, stopnišča, kleti,...). Osvetljenost vseh luči najmanj 15 Lux, vse luči, stikala in kabli so vključeni v enotno ceno. Instalacijski material je last izvajalca.</t>
  </si>
  <si>
    <t xml:space="preserve">Obračun po kompletno izdelanem dokazilu, v 2 izvodih </t>
  </si>
  <si>
    <t>Natančno tehnologija izvedbe izkopa potrdi nadzor, po potrebi v sodelovanju z geomehanikom in projektantom gradbenih konstrukcij!</t>
  </si>
  <si>
    <t>rezerva za razna zalivanja po etažah ter pri strojnih instalacijah</t>
  </si>
  <si>
    <t>stene</t>
  </si>
  <si>
    <t xml:space="preserve"> 14.1</t>
  </si>
  <si>
    <t xml:space="preserve"> 14.2</t>
  </si>
  <si>
    <t xml:space="preserve"> 14.3</t>
  </si>
  <si>
    <t xml:space="preserve"> - Izdelava prebojev do fi 20 cm, dolbenje po zidovih in skozi zidove za potrebe razvodov ter ponovna zazidava utorov in prebojev ter ranjenih mest zaradi rušenja. Komplet z tesnilnim materialom in vzpostavitvijo v obstoječe stanje. Mere preveriti po projektu strojnih instalacij in na licu mesta.</t>
  </si>
  <si>
    <t xml:space="preserve">Mestna občina Velenje, Titov trg 1, 3320 Velenje
</t>
  </si>
  <si>
    <t>13/2018</t>
  </si>
  <si>
    <t xml:space="preserve">Vsa oprema in materiali se mora dobaviti z vsemi ustreznimi certifikati, atesti, garancijami, navodili za obratovanje in vzdrževanje ter servisiranje (skladno z veljavno zakonodajo in zahtevami naročnika). Upoštevati je potrebno stroške meritev, preizkusa in zagona, vključno z eventualno pridobitvijo ustreznih certifikatov in potrdil pri pooblaščenih institucijah. </t>
  </si>
  <si>
    <t xml:space="preserve">A101 - ZEMELJSKA DELA </t>
  </si>
  <si>
    <t>PONUDNIK ALI IZVAJALEC JE DOLŽAN UPOŠTEVATI VSA NAVODILA IZ PROJEKTNIH POGOJEV, SOGLASIJ, STROKOVNIH ELABORATOV IN KOMPLETNE PZI DOKUMENTACIJE.</t>
  </si>
  <si>
    <t>V SKLOP IZVAJALČEVE PONUDBE SODIJO VSI EVENTUALNO POTREBNI DELAVNIŠKI NAČRTI ALI DODATNI PRERAČUNI, POTREBNI ZA IZVEDBO, KI JIH PRED IZVEDBO GLEDE TEHNIČNE PRAVILNOSTI, ZAHTEVANE KAKOVOSTI IN IZGLEDA POTRDI ODGOVORNI PROJEKTANT.</t>
  </si>
  <si>
    <t>VZORCE VSEH FINALNIH MATERIALOV JE PONUDNIK DOLŽAN PREDLOŽITI PROJEKTANTU V POTRDITEV, POSEBEJ, KJER SO MOŽNE ALTERNATIVE V IZBIRI MATERIALA (FINALNE OBLOGE POVRŠIN, NJIHOVE OBDELAVE, VIDNI IN NEVIDNI PRITRDILNI MATERIALI, PODKONSTRUKCIJE …)</t>
  </si>
  <si>
    <t xml:space="preserve">INVESTITOR SI PRIDRUŽUJE PRAVICO DOSPREMEMBE MIKRO LOKACIJE OPREME, KI POSLEDIČNO VPLIVA NA SPREMEMBO LOKACIJ SVETIL, ODVODNJAVANJA, ITD..
</t>
  </si>
  <si>
    <t xml:space="preserve">plačilo prispevka za deponiranje odpadnega materiala NA stalno deponijo </t>
  </si>
  <si>
    <t xml:space="preserve">Vse gradbene odpadke in ruševine je potrebno odpeljati na deponijo komunalnih odpadkov v skladu z Odlokom o ravnanju s komunalnimi odpadki na območju občine in v skladu z Uredbo o odpadkih (Uradni list RS št. 37/15, 39/15). </t>
  </si>
  <si>
    <t xml:space="preserve">Obračuni izvršenih izkopov in zasipov se obračunavajo v raščenem stanju. </t>
  </si>
  <si>
    <t>Istočasno z izdelavo opažev se polagajo v opaže tudi razvodi in doze za instalacije in ostali elemetni po načrtih inštalacij in tehnologije (dodatno kontrolirati pozicije z risbami arhitekture in opreme).</t>
  </si>
  <si>
    <t>Za vse nejasnosti ali variantne rešitve se je obvezno posvetovati s projektantom in pristojnim konservatorjem spomeniškovarstvene stroke.</t>
  </si>
  <si>
    <t>Zidanje s kamnom mora biti čisto, s pravilno vezavo gradiva. Stiki morajo biti dobro zaliti z malto, vrste popolnoma horizontalne, malta pa ne sme biti v debelejšem sloju kot cca 15 mm. Vse površine morajo biti ustrezne geometrije, malta iz stikov se mora odstraniti dokler je še sveža.</t>
  </si>
  <si>
    <t>Vsi elementi  ključavničarskih del morajo biti izdelani strokovno in kvalitetno po detajlih in iz materialov kot je navedeno v opisih in detajlih. Ves vgrajeni material mora po kvaliteti ustrezati veljavnim tehničnim predpisom in standardom.</t>
  </si>
  <si>
    <t>Pri vseh izdelkih je potrebno zajeti izdelavo, dobavo in montažo ter eventualno vzidavo, vse potrebno okovje in tesnila. Vse mere, količini in obdelave kontrolirati po zadnjih veljavnih načrtih, detajlih, shemah, ki so sestavni del tega popisa oz. na gradbišču! Vsi ključavničarski izdelki (razen vročecinkanih) morajo biti dobavljeni opleskani 2x s temeljno barvo, primerno za finalni poliuretanski oplesk, s predhodnim peskanjem,   skupni debelini 120 in več mikronov. Vse  jeklene varjene konstrukcije so ustrezno korozijsko zaščitene v delavnici ustrezno kategoriji okolja C3 po SIST EN ISO 12944-2. Obračun po teži iz delavniške dokumentacije! Delavniško dokumentacijo pripravi izvajalec jeklene konstrukcije, ki jo dostavi v pregled odgovornemu projektantu gradbenih konstrukcij vsaj 5 dni pred pričetkom izvedbe del!</t>
  </si>
  <si>
    <t xml:space="preserve">Izvajalec lahko predlaga svoj sistem zaščite, ki zagotavljajo enak ali podoben nivo protikorozijske zaščite in ustreza zgoraj navedenim standardom in zahtevam.
Nianso zaključnega premaza (RAL) določi arhitekt v soglasju z investitorjem. 
</t>
  </si>
  <si>
    <t>kamnoseška 
dela:</t>
  </si>
  <si>
    <t xml:space="preserve">Barve oziroma barvne odtenke odobri projektant. Izvajalec mora na zahtevo projektanta napraviti brezplačne vzorce dimenzij min. 40/40 cm. </t>
  </si>
  <si>
    <t>VARNOSTNI UKREPI: 
Zavarovanje vseh nevarnih mest v različnih fazah gradnje (oporni zidovi ipd.)
Pokritje prebojev, zavarovanje gradbišča in drugi podobni ukrepi; vzdrževanja, prestavljanja, zapiranje prebojev v steni, stropu in tleh ter odprtin v stropu in tleh: Pohodni, nepremični začasni pokrovi/pokrivala npr:. za jaške,  preboje, jame, poglobitve,… - izvedba in uporaba. 
varovalne mreže  za preprečitev padca z višine na vseh linijah, predvidenih v varnostnem načrtu oz. po navodilih varnostnega inženirja
Namestitev pripomočkov za nudenje prve pomoči  za delavce na gradbišču
Izvedba meritev emisij hrupa, prahu in delovnih pogojev zaposlenih
Pregledi, preizkusi delovnih strojev, opreme in izvedba elektro meritev ter pridobitev listin o ustreznosti za varno delo
Varovanje delavcev na gradbišču z opozorilnimi lučmi v temi preko električnega omrežja ali na baterije, delovanje po izbiri izvajalca, v skladu z veljavnimi predpisi (npr. za zaščito ogrodij in konstrukcij, izstopajočih (štrlečih) delov).
Zagotovitev skupnega varovalnega ukrepa za zagotavljanje zaščite pred padci z višin
Varnostna ograja na predelih, kjer je možnost padca v globino (tudi pod kotom), razen v povezavi z odrom, z prečko spodaj na sredini in zgoraj, pri stopnicah brez spodnje prečke - izvedba, uporaba, demontaža.
Jekleno sidro/klin za varovanje delavcev, vroče cinkano, vključno z izkazom oz. dokazilom nosilnosti po normativih; sidranje klina v betonsko površino, ne glede ali v steno ali strop; varnostna žica</t>
  </si>
  <si>
    <t>Prav tako mora izvajalec pridobiti vse potrebne izkaze in poročila, predvsem pa:</t>
  </si>
  <si>
    <t xml:space="preserve">RUŠITVENA DELA </t>
  </si>
  <si>
    <r>
      <t>PAZLJIVO</t>
    </r>
    <r>
      <rPr>
        <sz val="10"/>
        <rFont val="Calibri"/>
        <family val="2"/>
        <charset val="238"/>
        <scheme val="minor"/>
      </rPr>
      <t>: varovanje vseh podzemnih vodov</t>
    </r>
  </si>
  <si>
    <r>
      <rPr>
        <b/>
        <sz val="10"/>
        <rFont val="Calibri"/>
        <family val="2"/>
        <charset val="238"/>
        <scheme val="minor"/>
      </rPr>
      <t>Geodetska dela pri gradnji objekta</t>
    </r>
    <r>
      <rPr>
        <sz val="10"/>
        <rFont val="Calibri"/>
        <family val="2"/>
        <charset val="238"/>
        <scheme val="minor"/>
      </rPr>
      <t xml:space="preserve"> - zakoličba objekta in zakoličba komunalnih vodov pred posegom, z zapisnikom. S pridobitvijo podatkov o obstoječih komunalnih vodih. Mdr.: vodovod, kanalizacija, elektro</t>
    </r>
  </si>
  <si>
    <r>
      <t xml:space="preserve">Geomehanski nadzor </t>
    </r>
    <r>
      <rPr>
        <sz val="10"/>
        <rFont val="Calibri"/>
        <family val="2"/>
        <charset val="238"/>
        <scheme val="minor"/>
      </rPr>
      <t>- pri gradnji = po izvedenih izkopih za nove temeljne plošče fontane in strojnice.  Razna merjenja, ogledi, eventualno potrebni dodatni izračuni stabilnosti glede na zatečene geološke razmere terena. Plačilo stroška za prisotnost v času izvajanja izkopov in izvedbo meritev nosilnosti temeljnih tal in nasipov s strani strokovne institucije ter ogled temeljnih tal  s strani geomehanika</t>
    </r>
  </si>
  <si>
    <r>
      <rPr>
        <b/>
        <sz val="10"/>
        <rFont val="Calibri"/>
        <family val="2"/>
        <charset val="238"/>
        <scheme val="minor"/>
      </rPr>
      <t>Komplet organizacija, ureditev in priprava gradbišča v stanje za nemoteno delo, vzdrževanje in demontaža gradbišča</t>
    </r>
    <r>
      <rPr>
        <sz val="10"/>
        <rFont val="Calibri"/>
        <family val="2"/>
        <charset val="238"/>
        <scheme val="minor"/>
      </rPr>
      <t xml:space="preserve">, z vsemi potrebnimi / spremljajočimi deli in materiali, vključno s stroji in napravami, oskrbo z vodo, elektriko, dovoznimi in delovnimi potmi okoli objekta on v objektu, ograjami okoli objekta in v objektu, ukrepi za varnost in zdravje pri delu, z deponijami in začasnimi objekti. vzdrževanje v času gradnje in odstranitev po koncu gradnje, izvedba po potrjenem načrtu gradbišča </t>
    </r>
  </si>
  <si>
    <r>
      <rPr>
        <b/>
        <sz val="10"/>
        <rFont val="Calibri"/>
        <family val="2"/>
        <charset val="238"/>
        <scheme val="minor"/>
      </rPr>
      <t>Elaborat / načrt organizacije gradbišča.</t>
    </r>
    <r>
      <rPr>
        <sz val="10"/>
        <rFont val="Calibri"/>
        <family val="2"/>
        <charset val="238"/>
        <scheme val="minor"/>
      </rPr>
      <t xml:space="preserve"> Komplet izdelava in predložitev v potrditev</t>
    </r>
  </si>
  <si>
    <r>
      <t xml:space="preserve">SHRANJEVANJE DOKAZOV:  
</t>
    </r>
    <r>
      <rPr>
        <sz val="10"/>
        <rFont val="Calibri"/>
        <family val="2"/>
        <charset val="238"/>
        <scheme val="minor"/>
      </rPr>
      <t>Izvajalec naredi posnetek območja oz. zbere dokaze stanja objekta ter tujih lastnin oz. sosednjih objektov pred izvedbo svojih del, za kasnejše ugotavljanje nastale škode, ki bi eventuelno lahko nastala zaradi izvedbe gradbenih del. Izdelava protokola s fotografijami in v prisotnosti lastnika in nadzora. Zapisnik se naredi v dveh izvodih pred začetkom del in se preda naročniku.</t>
    </r>
  </si>
  <si>
    <r>
      <rPr>
        <b/>
        <sz val="10"/>
        <rFont val="Calibri"/>
        <family val="2"/>
        <charset val="238"/>
        <scheme val="minor"/>
      </rPr>
      <t>DOSTOP - TRANSPORTNE POTI:</t>
    </r>
    <r>
      <rPr>
        <sz val="10"/>
        <rFont val="Calibri"/>
        <family val="2"/>
        <charset val="238"/>
        <scheme val="minor"/>
      </rPr>
      <t xml:space="preserve"> dostop bo po obstoječih poteh do območja posegov. Po zaključku gradnje vzpostaviti prvotno stanje oz. po dogovoru z naročnikom - obvezen je ogled  pred oddajo ponudbe.</t>
    </r>
  </si>
  <si>
    <r>
      <rPr>
        <b/>
        <sz val="10"/>
        <rFont val="Calibri"/>
        <family val="2"/>
        <charset val="238"/>
        <scheme val="minor"/>
      </rPr>
      <t xml:space="preserve">OGRAJA: </t>
    </r>
    <r>
      <rPr>
        <sz val="10"/>
        <rFont val="Calibri"/>
        <family val="2"/>
        <charset val="238"/>
        <scheme val="minor"/>
      </rPr>
      <t>gradbiščna ograja iz kovinskih panelov višine 2,00 m s podkonstrukcijo, vrata za osebni dostop s ključavnico, vrata velikosti do 6,00 m2 s ključavnico - dobava, postavitev, vzdrževanje, demontaža in odvoz - lokalna postavitev po potrebo, sicer prilagojene PVC mreže/vrvice za ločitev delovišča - tehnologijo predlaga izvajalec, potrja nadzor.</t>
    </r>
  </si>
  <si>
    <r>
      <rPr>
        <b/>
        <sz val="10"/>
        <rFont val="Calibri"/>
        <family val="2"/>
        <charset val="238"/>
        <scheme val="minor"/>
      </rPr>
      <t>ZAČASNI OBJEKTI:</t>
    </r>
    <r>
      <rPr>
        <sz val="10"/>
        <rFont val="Calibri"/>
        <family val="2"/>
        <charset val="238"/>
        <scheme val="minor"/>
      </rPr>
      <t xml:space="preserve"> kot gradbiščni / skladiščni kontejnerji, barake za pisarne in garderobe, lope, nadstrešnice ipd. Priprava postora za postavitev, izgradnja  in vzpostavitev prvotnega stanja okolice po zaključenih delih.</t>
    </r>
  </si>
  <si>
    <r>
      <rPr>
        <b/>
        <sz val="10"/>
        <rFont val="Calibri"/>
        <family val="2"/>
        <charset val="238"/>
        <scheme val="minor"/>
      </rPr>
      <t xml:space="preserve">DEPONIJE: </t>
    </r>
    <r>
      <rPr>
        <sz val="10"/>
        <rFont val="Calibri"/>
        <family val="2"/>
        <charset val="238"/>
        <scheme val="minor"/>
      </rPr>
      <t xml:space="preserve">
Priprava postora za postavitev deponij, izgradnja gradbiščnih deponij in vzpostavitev prvotnega stanja po zaključenih delih.</t>
    </r>
  </si>
  <si>
    <r>
      <rPr>
        <b/>
        <sz val="10"/>
        <rFont val="Calibri"/>
        <family val="2"/>
        <charset val="238"/>
        <scheme val="minor"/>
      </rPr>
      <t xml:space="preserve">DVIGALA: </t>
    </r>
    <r>
      <rPr>
        <sz val="10"/>
        <rFont val="Calibri"/>
        <family val="2"/>
        <charset val="238"/>
        <scheme val="minor"/>
      </rPr>
      <t>ustrezno število gradbenih  dvigal, potrebnih za čas gradnje. Vsi stroški: priprava prostora, najem, postavitev, stroški delovanje, odstranitev itd. Glede na ureditev gradbišča, ki jo določi izvajalec.</t>
    </r>
  </si>
  <si>
    <r>
      <rPr>
        <b/>
        <sz val="10"/>
        <rFont val="Calibri"/>
        <family val="2"/>
        <charset val="238"/>
        <scheme val="minor"/>
      </rPr>
      <t xml:space="preserve">ZAVAROVANJE GRADBIŠČA: </t>
    </r>
    <r>
      <rPr>
        <sz val="10"/>
        <rFont val="Calibri"/>
        <family val="2"/>
        <charset val="238"/>
        <scheme val="minor"/>
      </rPr>
      <t>sklenjeno zavarovanje za  škodo, ki bi utegnila nastati investitorjem in tretjim osebam v zvezi z opravljanjem njihove dejavnosti</t>
    </r>
  </si>
  <si>
    <r>
      <rPr>
        <b/>
        <sz val="10"/>
        <rFont val="Calibri"/>
        <family val="2"/>
        <charset val="238"/>
        <scheme val="minor"/>
      </rPr>
      <t xml:space="preserve">ČIŠČENJE: </t>
    </r>
    <r>
      <rPr>
        <sz val="10"/>
        <rFont val="Calibri"/>
        <family val="2"/>
        <charset val="238"/>
        <scheme val="minor"/>
      </rPr>
      <t xml:space="preserve">
Čiščenje gradbišča, demontaža in odnos vseh pripomočkov, odpadkov in ostankov. 
Čiščenje ceste zaradi nanosa blata na cesto</t>
    </r>
  </si>
  <si>
    <r>
      <t xml:space="preserve">DOKAZILO O ZANESLJIVOSTI: </t>
    </r>
    <r>
      <rPr>
        <sz val="10"/>
        <rFont val="Calibri"/>
        <family val="2"/>
        <charset val="238"/>
        <scheme val="minor"/>
      </rPr>
      <t>izdelava kompletne dokumentacije "Dokazila o zanesljivosti", pridobitev izkazov, atestov, dokazil o skladnosti in navodil za obratovanje in delovanje za vse vgrajene elemente in materiale ter poučitev uporabnika o delovanju, kompletno z vsemi potrebnimi meritvami</t>
    </r>
  </si>
  <si>
    <r>
      <rPr>
        <b/>
        <sz val="10"/>
        <rFont val="Calibri"/>
        <family val="2"/>
        <charset val="238"/>
        <scheme val="minor"/>
      </rPr>
      <t>Zbiranje podatkov za izdelavo PID</t>
    </r>
    <r>
      <rPr>
        <sz val="10"/>
        <rFont val="Calibri"/>
        <family val="2"/>
        <charset val="238"/>
        <scheme val="minor"/>
      </rPr>
      <t xml:space="preserve"> - gradbišče sproti s potrditvijo nadzora vpisuje v en izvod PZI dokumentacije vse spremembe, izvedene med gradnjo, kot osnova za PID dokumentacijo. To dokumentacijo gradbišče preda projektantom kot osnovo za izdelavo PID.</t>
    </r>
  </si>
  <si>
    <r>
      <t xml:space="preserve">lokalno zavarovanje zunanjščine pred poškodbami na vseh delih, kjer je to potrebno - </t>
    </r>
    <r>
      <rPr>
        <sz val="10"/>
        <rFont val="Calibri"/>
        <family val="2"/>
        <charset val="238"/>
        <scheme val="minor"/>
      </rPr>
      <t>na stiku z elementi, ki se ohranjajo, na delovnih poteh ipd. - po predlogu izvajalca, izvedbo potrjuje nadzor - z uporabo mehurčaste folije, desk,PVC folije - glede na karakteristiko del - ipd. Dobava in  vgradnja z vsem pritrdilnim materialom. Vključno z odstranitvijo, odnosom z gradbišča in odložitvijo na deponijo odpadkov s plačilom vseh pristojbin.</t>
    </r>
  </si>
  <si>
    <t>odstranitev obstoječe urbane opreme:</t>
  </si>
  <si>
    <r>
      <t xml:space="preserve">plastični koš na kovinskem ogrodju: </t>
    </r>
    <r>
      <rPr>
        <sz val="10"/>
        <rFont val="Calibri"/>
        <family val="2"/>
        <charset val="238"/>
        <scheme val="minor"/>
      </rPr>
      <t>odvoz na deponijo investitorja ali na deponijo gradbenih odpadkov</t>
    </r>
  </si>
  <si>
    <r>
      <t>premik obstoječe osvetljene informacijske table</t>
    </r>
    <r>
      <rPr>
        <sz val="10"/>
        <rFont val="Calibri"/>
        <family val="2"/>
        <charset val="238"/>
        <scheme val="minor"/>
      </rPr>
      <t xml:space="preserve"> z območja pred mostovžem na območje izteka poti na grad - mirolokacijo določita predstavnik Muzeja Velenje in pristojni konservator. Vključno s strokovnim odklopom elektrike in zavarovanjem elektro dovoda, z demontažo in eventualno potrebnim razstavljanem konstrukcije table, s prenosom na novo mesto v oddaljenosti cca 40 m, izvedba vseh potrebnih izvrtin za sidranje table, ponovno sestavljanje in nameščanje table, strokovna potegnitev elektro kabla za osvetlitev table (z vsemi izkopi, kabliranje, zaščitnim trakom, zasutjem, z drobnim veznim materialom), ponovno sestavljanje table z vsemi eventualno potrebnimi prilagoditvami, z vsem pritrdilnim in tesnilnim materialom, čiščenje po opravljenih delih.</t>
    </r>
  </si>
  <si>
    <r>
      <t>odstranitev elementov provizoričnega stopnišča proti mostovžu</t>
    </r>
    <r>
      <rPr>
        <sz val="10"/>
        <rFont val="Calibri"/>
        <family val="2"/>
        <charset val="238"/>
        <scheme val="minor"/>
      </rPr>
      <t xml:space="preserve"> - odstranijo se leseni pragovi, speti s klemami in peščeno nasutje</t>
    </r>
    <r>
      <rPr>
        <b/>
        <sz val="10"/>
        <rFont val="Calibri"/>
        <family val="2"/>
        <charset val="238"/>
        <scheme val="minor"/>
      </rPr>
      <t xml:space="preserve">. </t>
    </r>
    <r>
      <rPr>
        <sz val="10"/>
        <rFont val="Calibri"/>
        <family val="2"/>
        <charset val="238"/>
        <scheme val="minor"/>
      </rPr>
      <t>Navedena tlorisna projekcija, delo dejansko na brežini</t>
    </r>
  </si>
  <si>
    <r>
      <rPr>
        <b/>
        <sz val="10"/>
        <rFont val="Calibri"/>
        <family val="2"/>
        <charset val="238"/>
        <scheme val="minor"/>
      </rPr>
      <t>odstranitev vrhnjega dela zidov</t>
    </r>
    <r>
      <rPr>
        <sz val="10"/>
        <rFont val="Calibri"/>
        <family val="2"/>
        <charset val="238"/>
        <scheme val="minor"/>
      </rPr>
      <t xml:space="preserve"> do kote cca 22 cm pod finalni tlak oz. po dogovoru s konservatorjem na mestu</t>
    </r>
  </si>
  <si>
    <t xml:space="preserve">odstranitev rastlinja </t>
  </si>
  <si>
    <r>
      <rPr>
        <b/>
        <sz val="10"/>
        <rFont val="Calibri"/>
        <family val="2"/>
        <charset val="238"/>
        <scheme val="minor"/>
      </rPr>
      <t>grmovnice</t>
    </r>
    <r>
      <rPr>
        <sz val="10"/>
        <rFont val="Calibri"/>
        <family val="2"/>
        <charset val="238"/>
        <scheme val="minor"/>
      </rPr>
      <t xml:space="preserve"> ob opornem zidu</t>
    </r>
  </si>
  <si>
    <r>
      <rPr>
        <b/>
        <sz val="10"/>
        <rFont val="Calibri"/>
        <family val="2"/>
        <charset val="238"/>
        <scheme val="minor"/>
      </rPr>
      <t>plezalke na opornem zidu</t>
    </r>
    <r>
      <rPr>
        <sz val="10"/>
        <rFont val="Calibri"/>
        <family val="2"/>
        <charset val="238"/>
        <scheme val="minor"/>
      </rPr>
      <t xml:space="preserve"> - predvsem bršljan in divja vinska trta - komplet - pazljivo odstranjevanje, da zaradi puljenja korenin ne pride do poškodb zidu</t>
    </r>
  </si>
  <si>
    <r>
      <t>odstranitev cepljenih kamnitih/granitnih robnikov</t>
    </r>
    <r>
      <rPr>
        <sz val="10"/>
        <rFont val="Calibri"/>
        <family val="2"/>
        <charset val="238"/>
        <scheme val="minor"/>
      </rPr>
      <t xml:space="preserve"> - dogovor z investitorjem o morebitnem odvozu na skledišče investitorja za kasnejšo rabo, sicer odvoz na deponijo</t>
    </r>
  </si>
  <si>
    <t>SPLOŠNO: pri vseh postavkah, kjer je navedena odstranitev in rušitev velja: vključno z nakladanjem na kamion, odvozom na deponijo gradbenih odpadkov v radiju 20 km in plačilom deponijskih pristojbin. Upoštevati delo v spomeniško varovanem parku.</t>
  </si>
  <si>
    <r>
      <rPr>
        <b/>
        <sz val="10"/>
        <rFont val="Calibri"/>
        <family val="2"/>
        <charset val="238"/>
        <scheme val="minor"/>
      </rPr>
      <t>Planiranje dna gradbene jame</t>
    </r>
    <r>
      <rPr>
        <sz val="10"/>
        <rFont val="Calibri"/>
        <family val="2"/>
        <charset val="238"/>
        <scheme val="minor"/>
      </rPr>
      <t xml:space="preserve"> v točnosti +-2 cm, s potrebnim utrjevanjem do ustrezne zbitosti Ev1 = 80 MN/m2</t>
    </r>
  </si>
  <si>
    <r>
      <t xml:space="preserve">Dobava in  vgradnja </t>
    </r>
    <r>
      <rPr>
        <b/>
        <sz val="10"/>
        <rFont val="Calibri"/>
        <family val="2"/>
        <charset val="238"/>
        <scheme val="minor"/>
      </rPr>
      <t xml:space="preserve">PP filca/geotekstil folije preko dna gradbene jame, </t>
    </r>
    <r>
      <rPr>
        <sz val="10"/>
        <rFont val="Calibri"/>
        <family val="2"/>
        <charset val="238"/>
        <scheme val="minor"/>
      </rPr>
      <t xml:space="preserve">gramatura po  geomehanskih zahtevah, preklop min. 20 cm.  Dobava in položitev na tla pod nasipni gramoz. Opustitev lahko z vpisom v gradbeni dnevnik dovoli geomehanik ob ogledu gradbene jame.  </t>
    </r>
  </si>
  <si>
    <t>izkop za fontano</t>
  </si>
  <si>
    <t>izkop za strojnico</t>
  </si>
  <si>
    <t>za fontano</t>
  </si>
  <si>
    <t>za strojnico</t>
  </si>
  <si>
    <t>pod ploščo fontane</t>
  </si>
  <si>
    <t>pod ploščo strojnice</t>
  </si>
  <si>
    <r>
      <rPr>
        <b/>
        <sz val="10"/>
        <rFont val="Calibri"/>
        <family val="2"/>
        <charset val="238"/>
        <scheme val="minor"/>
      </rPr>
      <t>smreke</t>
    </r>
    <r>
      <rPr>
        <sz val="10"/>
        <rFont val="Calibri"/>
        <family val="2"/>
        <charset val="238"/>
        <scheme val="minor"/>
      </rPr>
      <t xml:space="preserve"> na območju provizoričnega stopnišča proti mostovžu, strokovni posek, razrez in odvoz z gradbišča na deponijo zelenega odreza, na deponijo gradbenih odpadkovs  plačilom pristojbin ali po dogovoru investitor-gradbišče. Vključno z odstranitvijo štorov.</t>
    </r>
  </si>
  <si>
    <r>
      <t xml:space="preserve">špricbeton pod podsutimi deli obstoječih konstrukcij, </t>
    </r>
    <r>
      <rPr>
        <sz val="10"/>
        <rFont val="Calibri"/>
        <family val="2"/>
        <charset val="238"/>
        <scheme val="minor"/>
      </rPr>
      <t>ocenjeno</t>
    </r>
  </si>
  <si>
    <r>
      <rPr>
        <b/>
        <sz val="10"/>
        <color theme="1"/>
        <rFont val="Calibri"/>
        <family val="2"/>
        <charset val="238"/>
        <scheme val="minor"/>
      </rPr>
      <t xml:space="preserve">obdelava območja, kjer se je odstranilo stopnice in smreke: </t>
    </r>
    <r>
      <rPr>
        <sz val="10"/>
        <color theme="1"/>
        <rFont val="Calibri"/>
        <family val="2"/>
        <charset val="238"/>
        <scheme val="minor"/>
      </rPr>
      <t xml:space="preserve"> ureditev gladke brežine,  humusiranje, odstranitev kamenja, povaljanje površine kot priprava na saditev. Navedena je tlorisna projekcija brežine.</t>
    </r>
  </si>
  <si>
    <r>
      <rPr>
        <b/>
        <sz val="10"/>
        <color theme="1"/>
        <rFont val="Calibri"/>
        <family val="2"/>
        <charset val="238"/>
        <scheme val="minor"/>
      </rPr>
      <t>geofilc</t>
    </r>
    <r>
      <rPr>
        <sz val="10"/>
        <color theme="1"/>
        <rFont val="Calibri"/>
        <family val="2"/>
        <charset val="238"/>
        <scheme val="minor"/>
      </rPr>
      <t>, dobava in razgrinjanje s preklopi</t>
    </r>
  </si>
  <si>
    <r>
      <rPr>
        <b/>
        <sz val="10"/>
        <color theme="1"/>
        <rFont val="Calibri"/>
        <family val="2"/>
        <charset val="238"/>
        <scheme val="minor"/>
      </rPr>
      <t>nevezana nosilna plast</t>
    </r>
    <r>
      <rPr>
        <sz val="10"/>
        <color theme="1"/>
        <rFont val="Calibri"/>
        <family val="2"/>
        <charset val="238"/>
        <scheme val="minor"/>
      </rPr>
      <t xml:space="preserve"> (NNP), izdelana iz enakomerno zrnatega drobljenca granulacije 0/22 ali 0/32 mm. zgoščena do potrebne zbitosti,  tako da je dovolj stabilna in nosilna, ustrezati pa mora zahtevam glede ravnosti, višine in nagiba. Planum NNP mora izvajalec vzdrževati v ustreznem stanju ves čas do pričetka izvajanja protiprašne zaščite. v debelini cca 7 cm.</t>
    </r>
  </si>
  <si>
    <r>
      <rPr>
        <b/>
        <sz val="10"/>
        <color theme="1"/>
        <rFont val="Calibri"/>
        <family val="2"/>
        <charset val="238"/>
        <scheme val="minor"/>
      </rPr>
      <t xml:space="preserve">Komplet izvedba peščenih poti </t>
    </r>
    <r>
      <rPr>
        <sz val="10"/>
        <color theme="1"/>
        <rFont val="Calibri"/>
        <family val="2"/>
        <charset val="238"/>
        <scheme val="minor"/>
      </rPr>
      <t>v sestavi:</t>
    </r>
  </si>
  <si>
    <r>
      <t xml:space="preserve">Vezane obrabne in zaporne plasti površinske prevleke
Izdelava </t>
    </r>
    <r>
      <rPr>
        <b/>
        <sz val="10"/>
        <rFont val="Calibri"/>
        <family val="2"/>
        <charset val="238"/>
        <scheme val="minor"/>
      </rPr>
      <t>dvoplastne  protiprašne zaščite vozišča po hladnem postopku</t>
    </r>
    <r>
      <rPr>
        <sz val="10"/>
        <rFont val="Calibri"/>
        <family val="2"/>
        <charset val="238"/>
        <scheme val="minor"/>
      </rPr>
      <t>, z izmeničnim enojnim  posipom zrn apnenčevega drobirja velikosti  4/8 in 2/4 mm ter 2 x pobrizgom PmBE emulzije, na pripravljeno podlago NNP . Kot MAK Vianova ali enakovredno. Protiprašno zaščito je možno izvajati v obdobju  junij -avgust  oz. ko so temperature podlage in ozračja  &gt;20 °C. Eventualna odstranitev nevezanih zrn drobirja je odvisna od trajanja vezanja veziva, vremenskih razmer in gostote prometa, odstranitev se izvede s pometanjem ali sesanjem - po dogovoru z investitorjem.</t>
    </r>
  </si>
  <si>
    <t>Voziščne konstrukcije</t>
  </si>
  <si>
    <t>stik z zunanjimi zelenicami, stopnicami in mostovžem</t>
  </si>
  <si>
    <t>zunanja obroba gredica 2, organska oblika</t>
  </si>
  <si>
    <t>zunanja obroba gredica 3, organska oblika</t>
  </si>
  <si>
    <t>zunanja obroba gredica 1, radij 2 m</t>
  </si>
  <si>
    <t>grupa B na gredici A, radij 1,25</t>
  </si>
  <si>
    <t>grupa C na gredici 3, radij 1,15</t>
  </si>
  <si>
    <t>grupa D na gredici 3, radij 1,25</t>
  </si>
  <si>
    <t>grupa E na gredici 3, radij 1,25</t>
  </si>
  <si>
    <t>grupa F na gredici 3, zunanji radij 2,50</t>
  </si>
  <si>
    <t>grupa F na gredici 3, notranji radij 1,50</t>
  </si>
  <si>
    <t>grupa A na gredici 2, zunanji radij 2,1</t>
  </si>
  <si>
    <t>grupa A na gredici 2, notranji radij 1,5</t>
  </si>
  <si>
    <r>
      <rPr>
        <b/>
        <sz val="10"/>
        <color theme="1"/>
        <rFont val="Calibri"/>
        <family val="2"/>
        <charset val="238"/>
        <scheme val="minor"/>
      </rPr>
      <t>kovinski potopljeni robniki za ločevanje peščenih in travnatih površin ter vrtnih gredic</t>
    </r>
    <r>
      <rPr>
        <sz val="10"/>
        <color theme="1"/>
        <rFont val="Calibri"/>
        <family val="2"/>
        <charset val="238"/>
        <scheme val="minor"/>
      </rPr>
      <t>, višina 15 cm, varnostni zaorožen vrhnji rob, iz nerjavečega jekla, kot ACO kovinski robnik ali enakovredno Dobava in vgradnja z vsem pritrdilnim materialom (žeblji in vijaki z maticami), količenjem, krivljenjem, stikovanjem … VSI STIKI KRIVULJ MORAJO BITI KONTINUIRANI IN POVSEM GLADKI, brez zalomov! obvezna predhodna preverba/uskladitev s projektantom. za podrobnejše količenje se predaja dwg datoteka, iz katere si geodet sam pobere potrebne podatke.</t>
    </r>
  </si>
  <si>
    <t>Posamezne preboje se naroči ob izvedbi, ko investitor dokončno potrdi opremo oz. tehnologijo (fontana, itd.).</t>
  </si>
  <si>
    <t>strojnica</t>
  </si>
  <si>
    <t>NAVADEN SIV AGREGAT, NAVADEN SIV CEMENT</t>
  </si>
  <si>
    <t>za temelje novih opornih zidov - ravne</t>
  </si>
  <si>
    <t>za temelje novih opornih zidov - ukrivljene</t>
  </si>
  <si>
    <t>za AB ploščo strojnice</t>
  </si>
  <si>
    <t>za AB ploščo školjke fontane - ukrivljeno</t>
  </si>
  <si>
    <t xml:space="preserve">obojestranski vertikalni opaž za beton </t>
  </si>
  <si>
    <t>AB plošča v strojnici</t>
  </si>
  <si>
    <t>opaži za vgradnjo tehničnih elementov</t>
  </si>
  <si>
    <t>pri fontani</t>
  </si>
  <si>
    <t>pri strojnici</t>
  </si>
  <si>
    <t>pod talno ploščo strojnice</t>
  </si>
  <si>
    <t>po zidovih strojnice</t>
  </si>
  <si>
    <t>po stropni plošči strojnice</t>
  </si>
  <si>
    <t>Obračun po dejansko porabljenem času in materialu, v postavko vključiti 25% pribitek za material</t>
  </si>
  <si>
    <t xml:space="preserve"> -vertikalna HI s preklopi</t>
  </si>
  <si>
    <r>
      <t xml:space="preserve">Dobava in izdelava kompletne črne </t>
    </r>
    <r>
      <rPr>
        <b/>
        <sz val="10"/>
        <color theme="1"/>
        <rFont val="Calibri"/>
        <family val="2"/>
        <charset val="238"/>
        <scheme val="minor"/>
      </rPr>
      <t>hidroizolacije</t>
    </r>
    <r>
      <rPr>
        <sz val="10"/>
        <color theme="1"/>
        <rFont val="Calibri"/>
        <family val="2"/>
        <charset val="238"/>
        <scheme val="minor"/>
      </rPr>
      <t>, vključno z vsemi vertikalnimi zaključki, tesnenji delovnih stikov, vse po zahtevah proizvajalca, usklajeno s projektom betona ter ob upoštevanju detajlov projekta. Za izvedbo je potrebna predhodna potrditev nadzora.
Obračun po m2  razvite površine izolacije (sami preklopi niso upoštevani), vključno zaključki na zid  ter pod stenami.
Hidroizolacija obsega: 2x varjeni polimer-bitumenski hidroizolativni trakovi deb. 1'0 cm, zavarjeni na rob plošče oz. steno; predhodni hladni bitumenski premaz 0'3 kg/m2; z vsemi pomožnimi deli in prenosi</t>
    </r>
  </si>
  <si>
    <r>
      <rPr>
        <b/>
        <sz val="10"/>
        <rFont val="Calibri"/>
        <family val="2"/>
        <charset val="238"/>
        <scheme val="minor"/>
      </rPr>
      <t>Sprotno in finalno čiščenje</t>
    </r>
    <r>
      <rPr>
        <sz val="10"/>
        <rFont val="Calibri"/>
        <family val="2"/>
        <charset val="238"/>
        <scheme val="minor"/>
      </rPr>
      <t xml:space="preserve"> pred predajo območja investitorju, OPOMBA: sprotno se skrbi za red in čistočo na gradbišču </t>
    </r>
  </si>
  <si>
    <r>
      <rPr>
        <b/>
        <sz val="10"/>
        <rFont val="Calibri"/>
        <family val="2"/>
        <charset val="238"/>
        <scheme val="minor"/>
      </rPr>
      <t xml:space="preserve">Razna pomožna dela, manjša/drobna obrt. dela, gradbena / zidarska pomoč obrtnikom in montažerjem,  </t>
    </r>
    <r>
      <rPr>
        <sz val="10"/>
        <rFont val="Calibri"/>
        <family val="2"/>
        <charset val="238"/>
        <scheme val="minor"/>
      </rPr>
      <t>z delovno silo in gradbenim materialom, obračunana na osnovi vpisa v gradbeni dnevnik:mdr.:</t>
    </r>
  </si>
  <si>
    <t>B-01 - KLJUČAVNIČARSKA  DELA</t>
  </si>
  <si>
    <t>B-02 - URBANA OPREMA</t>
  </si>
  <si>
    <r>
      <rPr>
        <b/>
        <sz val="10"/>
        <rFont val="Calibri"/>
        <family val="2"/>
        <charset val="238"/>
        <scheme val="minor"/>
      </rPr>
      <t>UVODNA OPOMBA:</t>
    </r>
    <r>
      <rPr>
        <sz val="10"/>
        <rFont val="Calibri"/>
        <family val="2"/>
        <charset val="238"/>
        <scheme val="minor"/>
      </rPr>
      <t xml:space="preserve">
Ponudnik mora pred oddajo ponudb natančno preučiti vso dokumentacijo in vse morebitne nejasnosti, vezane na obseg ali vsebino del, pisno uskladiti z investitorjem oziroma projektantom. Vsa zajeta dela v posameznih postavkah iz popisa del mora izvajalec izvesti v celoti, upoštevajoč ves potreben material in storitve (pomožna dela, transport do mesta vgradnje, zavarovanje dostopov, zavarovanje in varovanje objekta, delovni odri ...) ne glede na to, da to v opisu postavke popisa del morda ni posebej navedeno. Upoštevati je potrebno stroške vseh pripravljalnih in zaključnih del (vključno z usklajevanjem z ostalimi izvajalci na objektu, ureditev gradbišča, varovanje, izmere na objektu pred in med izvajanjem) ter vse transportne, skladiščne, zavarovalne in ostale splošne stroške, pomožna dela, transport do mesta vgradnje.</t>
    </r>
  </si>
  <si>
    <t>B-03 - SADILNI MATERIAL</t>
  </si>
  <si>
    <t>A-05 - SANACIJA OPORNEGA ZIDU</t>
  </si>
  <si>
    <r>
      <rPr>
        <b/>
        <sz val="10"/>
        <rFont val="Calibri"/>
        <family val="2"/>
        <charset val="238"/>
        <scheme val="minor"/>
      </rPr>
      <t>OPOMBA:</t>
    </r>
    <r>
      <rPr>
        <sz val="10"/>
        <rFont val="Calibri"/>
        <family val="2"/>
        <charset val="238"/>
        <scheme val="minor"/>
      </rPr>
      <t xml:space="preserve"> Pri oblikovanju cene za posamezna dela morajo biti vključeni vsi potrebni transporti in material za izvedbo opisanih elementov konstrukcije, vsa pomožna dela in zidarska dela pri obrtniških in instalacijskih delih, potrebni odri ter horizontalni in vertikalni prenosi. </t>
    </r>
  </si>
  <si>
    <t>izkop za nove segmente opornih zidov</t>
  </si>
  <si>
    <r>
      <rPr>
        <b/>
        <sz val="10"/>
        <color theme="1"/>
        <rFont val="Calibri"/>
        <family val="2"/>
        <charset val="238"/>
        <scheme val="minor"/>
      </rPr>
      <t>Sanacija obstoječih, s kamnom zidanih opornih zidov</t>
    </r>
    <r>
      <rPr>
        <sz val="10"/>
        <color theme="1"/>
        <rFont val="Calibri"/>
        <family val="2"/>
        <charset val="238"/>
        <scheme val="minor"/>
      </rPr>
      <t xml:space="preserve"> v spodaj navedenem obsegu. Vsi posegi se še na terenu preverijo s pristojnim konservatorjem, ki tudi potrjuje gradivo in postopke dela. Izvesti je potrebno vse faze do konca, izvedba samo dela postopka naredi več škode kot koristi. Upoštevati delo na brežini.</t>
    </r>
  </si>
  <si>
    <t xml:space="preserve">izvedba: Malto nanašamo kot obrizg na vlažno podlago. Namečemo jo predvsem v področjih stikov. Pustimo, da se delno posuši, ca 3-4 ure, vendar ne v celoti - malta ne sme biti več mehka, niti
povsem strjena. Nato površino narahlo oribamo s sirkovo krtačo in na koncu z gobo. S tem odstranimo malto iz največjih kamnov in dobimo enakomerno razporeditev vidnih kamnov v zidu. Ne odstranjujemo preveč precizno, če je malta v vdolbinicah kamna, jo pustimo. Tudi z
vseh kamnov je ni potrebno odstraniti, ker bo to nalogo s časom opravila klima. </t>
  </si>
  <si>
    <r>
      <rPr>
        <b/>
        <sz val="10"/>
        <color theme="1"/>
        <rFont val="Calibri"/>
        <family val="2"/>
        <charset val="238"/>
        <scheme val="minor"/>
      </rPr>
      <t>široko fugiranje</t>
    </r>
    <r>
      <rPr>
        <sz val="10"/>
        <color theme="1"/>
        <rFont val="Calibri"/>
        <family val="2"/>
        <charset val="238"/>
        <scheme val="minor"/>
      </rPr>
      <t xml:space="preserve"> z ustrezno fugirno maso, kot: RÖFIX 993 Hidravlično apno-malta za fuge ali enakovredno, po navodilih dobavitelja, OBVEZNO vključno z ustrezno nego in varovanjem zidu, kot da bi šlo za novo fasado! OBVEZNO izvajalec pripravi vzorec fugiranja velikosti vsaj 70/70 cm, ki ga potrdita arhitekt in konservator. za izvedbo širokega fugiranja so navodila na: http://www.zvkds.si/sites/www.zvkds.si/files/uploads/files/publication/apno_navodila_za_malte-_ometavanje.pdf, str. 28 dalje</t>
    </r>
  </si>
  <si>
    <t>Varovanje pred izpiranjem malte zaradi dežja ali prehitrim sušenjem (vlaženje, senčenje)</t>
  </si>
  <si>
    <t>Vijačni material, sidra: Vijaki matice, podložke in sidrne palice (navojne palice) ter matice za sidra morajo biti dobavljeni z že serijsko izvedeno protikorozijsko zaščito (cinkani), kjer ni izrecno navedeno, da morajo biti v barvi elementov.</t>
  </si>
  <si>
    <t>SKUPAJ URBANA OPREMA:</t>
  </si>
  <si>
    <t>SKUPAJ SANACIJA OPORNEGA ZIDU:</t>
  </si>
  <si>
    <r>
      <rPr>
        <b/>
        <sz val="10"/>
        <color theme="1"/>
        <rFont val="Calibri"/>
        <family val="2"/>
        <charset val="238"/>
        <scheme val="minor"/>
      </rPr>
      <t>krpanje mest, poškodovanih pri injektiranju in sidranju</t>
    </r>
    <r>
      <rPr>
        <sz val="10"/>
        <color theme="1"/>
        <rFont val="Calibri"/>
        <family val="2"/>
        <charset val="238"/>
        <scheme val="minor"/>
      </rPr>
      <t xml:space="preserve"> - kot široko fugiranje zgoraj</t>
    </r>
  </si>
  <si>
    <t>ravni deli ograje</t>
  </si>
  <si>
    <r>
      <t>OPOMBA:</t>
    </r>
    <r>
      <rPr>
        <sz val="10"/>
        <rFont val="Calibri"/>
        <family val="2"/>
        <charset val="238"/>
        <scheme val="minor"/>
      </rPr>
      <t xml:space="preserve"> Vse elemente mora izvajalec predstaviti v potrditev!</t>
    </r>
  </si>
  <si>
    <t>SKUPAJ TEHNOLOGIJA FONTANE:</t>
  </si>
  <si>
    <t>Tehnologija fontane</t>
  </si>
  <si>
    <t>SKUPAJ SADILNI MATERIAL:</t>
  </si>
  <si>
    <t>Vse sadike potrjuje arhitekt pred sajenjem. Nepotrjene sadike mora dobavitelj na svoje stroške odstraniti in nadomestiti s potrjenimi.
Vključiti vse potrebne stroške zadoločitev potrebnih razmikov med sadikami, sadilnih linij ipd.
S čiščenjem po opravljenih delih.</t>
  </si>
  <si>
    <t>v postavke zajeti tudi:</t>
  </si>
  <si>
    <t>sadilna jama za drevnino, vključno z dobavo in vgradnjo drenažne plasti - vulkanski kamen v višini cca 10 cm na dnu sadilne jame</t>
  </si>
  <si>
    <t>za drevje min. min. 3/4 m3</t>
  </si>
  <si>
    <t>za grmovnice min. 1/4 m3</t>
  </si>
  <si>
    <t>pod drevnino - v premeru sadilne jame cca 1,5 m fi oz. do kovinskega robnika</t>
  </si>
  <si>
    <t>pod pokrovnimi trajnicami - celotna območja oz. po dogovoru</t>
  </si>
  <si>
    <t>DREVNINA</t>
  </si>
  <si>
    <r>
      <rPr>
        <b/>
        <sz val="10"/>
        <color indexed="8"/>
        <rFont val="Calibri"/>
        <family val="2"/>
        <charset val="238"/>
        <scheme val="minor"/>
      </rPr>
      <t>substrat za rastline</t>
    </r>
    <r>
      <rPr>
        <sz val="10"/>
        <color indexed="8"/>
        <rFont val="Calibri"/>
        <family val="2"/>
        <charset val="238"/>
        <scheme val="minor"/>
      </rPr>
      <t xml:space="preserve"> - dobava in polnjenje gred/območij ozelenitve z ustrezno mešanico zemljin kot npr. 1/3 ilovica, 1/3 pesek, 1/3 šota ali enakovredno po navodilih dobavitelja rastlin</t>
    </r>
  </si>
  <si>
    <r>
      <rPr>
        <b/>
        <sz val="10"/>
        <color indexed="8"/>
        <rFont val="Calibri"/>
        <family val="2"/>
        <charset val="238"/>
        <scheme val="minor"/>
      </rPr>
      <t xml:space="preserve">lesni sekanci v naravni barvi, </t>
    </r>
    <r>
      <rPr>
        <sz val="10"/>
        <color indexed="8"/>
        <rFont val="Calibri"/>
        <family val="2"/>
        <charset val="238"/>
        <scheme val="minor"/>
      </rPr>
      <t xml:space="preserve">dobava, razgrinjanje v debelini min. 7 cm. </t>
    </r>
  </si>
  <si>
    <r>
      <rPr>
        <b/>
        <sz val="10"/>
        <rFont val="Calibri"/>
        <family val="2"/>
        <charset val="238"/>
        <scheme val="minor"/>
      </rPr>
      <t xml:space="preserve">Mali rdečecvetni zimzelen </t>
    </r>
    <r>
      <rPr>
        <sz val="10"/>
        <rFont val="Calibri"/>
        <family val="2"/>
        <charset val="238"/>
        <scheme val="minor"/>
      </rPr>
      <t>Vinca minor 'Atropurpurea'</t>
    </r>
  </si>
  <si>
    <r>
      <rPr>
        <b/>
        <sz val="10"/>
        <rFont val="Calibri"/>
        <family val="2"/>
        <charset val="238"/>
        <scheme val="minor"/>
      </rPr>
      <t>Pokrovni bršljan</t>
    </r>
    <r>
      <rPr>
        <sz val="10"/>
        <rFont val="Calibri"/>
        <family val="2"/>
        <charset val="238"/>
        <scheme val="minor"/>
      </rPr>
      <t xml:space="preserve"> Hedera helix </t>
    </r>
  </si>
  <si>
    <r>
      <rPr>
        <b/>
        <sz val="10"/>
        <rFont val="Calibri"/>
        <family val="2"/>
        <charset val="238"/>
        <scheme val="minor"/>
      </rPr>
      <t>rožnata potnika</t>
    </r>
    <r>
      <rPr>
        <sz val="10"/>
        <rFont val="Calibri"/>
        <family val="2"/>
        <charset val="238"/>
        <scheme val="minor"/>
      </rPr>
      <t xml:space="preserve"> Paeonia officinalis 'Rosea Plena' </t>
    </r>
  </si>
  <si>
    <r>
      <rPr>
        <b/>
        <sz val="10"/>
        <rFont val="Calibri"/>
        <family val="2"/>
        <charset val="238"/>
        <scheme val="minor"/>
      </rPr>
      <t xml:space="preserve">hortenzija </t>
    </r>
    <r>
      <rPr>
        <sz val="10"/>
        <rFont val="Calibri"/>
        <family val="2"/>
        <charset val="238"/>
        <scheme val="minor"/>
      </rPr>
      <t>Hydrangea Blue Jangles</t>
    </r>
  </si>
  <si>
    <t>POKROVNICE, TRAJNICE IN GRMOVNICE, POPENJAVKE</t>
  </si>
  <si>
    <t>dobro razvit habitus - močne sadike. 
Dobava, sajenje, nadzor.</t>
  </si>
  <si>
    <r>
      <rPr>
        <b/>
        <sz val="10"/>
        <rFont val="Calibri"/>
        <family val="2"/>
        <charset val="238"/>
        <scheme val="minor"/>
      </rPr>
      <t xml:space="preserve">Prezimni bananovec </t>
    </r>
    <r>
      <rPr>
        <sz val="10"/>
        <rFont val="Calibri"/>
        <family val="2"/>
        <charset val="238"/>
        <scheme val="minor"/>
      </rPr>
      <t>Musa basjoo, velikost sadike (stebelni del) min. 1,5 m</t>
    </r>
  </si>
  <si>
    <t>na območju ukinjenega stopnišča</t>
  </si>
  <si>
    <t>pod hortenzijami</t>
  </si>
  <si>
    <t>v grupi A</t>
  </si>
  <si>
    <t>v gredici 1</t>
  </si>
  <si>
    <t>grupa F: Zunanji obod 15,70 m, širina obrobka 1 m, računamo 3 sadike v širino in 3 v dolžino = 9/m1</t>
  </si>
  <si>
    <t>grupa A: zunanji obod 13,19 m, širina obrobka 60 cm, računamo 1,5 sadike v širino in 3 sadike v dolžino = 4,5 na m1</t>
  </si>
  <si>
    <r>
      <rPr>
        <b/>
        <sz val="10"/>
        <rFont val="Calibri"/>
        <family val="2"/>
        <charset val="238"/>
        <scheme val="minor"/>
      </rPr>
      <t>Zlata stebrasta tisa</t>
    </r>
    <r>
      <rPr>
        <sz val="10"/>
        <rFont val="Calibri"/>
        <family val="2"/>
        <charset val="238"/>
        <scheme val="minor"/>
      </rPr>
      <t xml:space="preserve"> (Taxus baccata 'Standishii'), </t>
    </r>
    <r>
      <rPr>
        <b/>
        <sz val="10"/>
        <rFont val="Calibri"/>
        <family val="2"/>
        <charset val="238"/>
        <scheme val="minor"/>
      </rPr>
      <t>strižena na stožec</t>
    </r>
    <r>
      <rPr>
        <sz val="10"/>
        <rFont val="Calibri"/>
        <family val="2"/>
        <charset val="238"/>
        <scheme val="minor"/>
      </rPr>
      <t xml:space="preserve"> (topiary), višina min. 2 m</t>
    </r>
  </si>
  <si>
    <r>
      <rPr>
        <b/>
        <sz val="10"/>
        <color theme="1"/>
        <rFont val="Calibri"/>
        <family val="2"/>
        <charset val="238"/>
        <scheme val="minor"/>
      </rPr>
      <t xml:space="preserve">nega obstoječega drevja med gradbenimi posegi </t>
    </r>
    <r>
      <rPr>
        <sz val="10"/>
        <color theme="1"/>
        <rFont val="Calibri"/>
        <family val="2"/>
        <charset val="238"/>
        <scheme val="minor"/>
      </rPr>
      <t>v smislu: pazljiv izkop na območju korenin, zavijanje izpostavljene  koreninske grude v PVC folijo kot variovanje pred izsušitvijo, izdatno zalivanje po potrebi - glede na vremenske razmere, odrez manjših korenin do 5 cm fi in zamazanje z ustrezno smolo, ovijanje korenin v peno ali drug material na mestih, kjer gredo korenine skozi nove oporne zidove ipd. po pravilih arboristične stroke. ocenjuje se, da bodo izpostavljena 3 drevesa, lipa pred mostovžem, češnja ob opornem zidu in drevo ob vogalu opornega zidu.</t>
    </r>
  </si>
  <si>
    <t xml:space="preserve">SPLOŠNO: frekvenca sajenja 5 kosov na m2, če ni v posamezni postavki drugače navedeno, minimalna višina/širina 45 cm, z gnojilom. Dobava, sajenje, nadzor. </t>
  </si>
  <si>
    <t xml:space="preserve">na območju ukinjenega stopnišča </t>
  </si>
  <si>
    <t>gredica 2</t>
  </si>
  <si>
    <t>gredica 3</t>
  </si>
  <si>
    <t>na stiku z grajskim hribom v širini cca 2 m</t>
  </si>
  <si>
    <t>PODLAGA: Mešanico zemlje in mivke (razmerje 2/3 zemlje, 1/3 mivke ) ter gnojila, ki smo jo prerahljali v globino vsaj 10 cm, utrdimo z valjarjem, ki je težak od 50 do 100 kg. Vrhnji sloj povaljane površine pregrabimo v globino 2 do 3 cm. Tega sloja zaradi učinkovitejšega naleganja in ukoreninjenja travne ruše ne valjamo! Če je na površini rodovitna humusna zemlja mivke ni potrebno dodajati. Pri pripravi tal pazimo, da je planirana površina nižja od ostalega terena za toliko, kolikor znaša debelina travne ruše, to je za približno 2 do 3 cm.</t>
  </si>
  <si>
    <t>POLAGANJE: Travne plošče – tepihi se polagajo navzkrižno kot pri zidanju. Biti morajo med seboj močno stisnjeni in spojeni s podlago, kar dosežemo z valjanjem.  Za ta namen uporabljamo lahki valjar – težak približno 50 -100 kg. Vse robove travnih tepihov, ki niso med seboj spojeni ali položeni do robnikov, zapremo z zemljo, da preprečimo izsuševanje. Travne tepihe, ki jih moramo opasati, odrežemo z dobro nabrušenim nožem.</t>
  </si>
  <si>
    <r>
      <t xml:space="preserve">NEGA: 
</t>
    </r>
    <r>
      <rPr>
        <u/>
        <sz val="10"/>
        <color theme="1"/>
        <rFont val="Calibri"/>
        <family val="2"/>
        <charset val="238"/>
        <scheme val="minor"/>
      </rPr>
      <t>zalivanje</t>
    </r>
    <r>
      <rPr>
        <sz val="10"/>
        <color theme="1"/>
        <rFont val="Calibri"/>
        <family val="2"/>
        <charset val="238"/>
        <scheme val="minor"/>
      </rPr>
      <t xml:space="preserve"> - Po končanem polaganju travnih tepihov travno rušo obilno zalijemo, tako da premočimo debelino ruše in vsaj še toliko podlage, na katero smo položili travne tepihe. Čeprav so naslednja zalivanja manj intenzivna, morajo biti vsakodnevna, da se zagotovi vzdrževanje vlage v zemlji in travni ruši do globine od 10 do 15 cm. Tako zalivamo, dokler se trava močno ne ukorenini. V 3 do 4 tednih bo travna ruša ukoreninjena. Potem samo še redno kosimo, gnojimo in zalivamo.
</t>
    </r>
    <r>
      <rPr>
        <u/>
        <sz val="10"/>
        <color theme="1"/>
        <rFont val="Calibri"/>
        <family val="2"/>
        <charset val="238"/>
        <scheme val="minor"/>
      </rPr>
      <t xml:space="preserve">košnja </t>
    </r>
    <r>
      <rPr>
        <sz val="10"/>
        <color theme="1"/>
        <rFont val="Calibri"/>
        <family val="2"/>
        <charset val="238"/>
        <scheme val="minor"/>
      </rPr>
      <t>- Po treh do petih dneh od polaganja tepihov travno rušo prvič pokosimo. S prvimi odkosi porežemo samo konice trave, nadaljni odkosi pa so vse večji, tako da dosežemo želeno višino trave, ki je od 3 do 4 cm. Višina odkosa naj bo odvisna tudi od letnega časa: v pomladanskem in jesenskem času kosimo nižje, v vročih dneh in poletnih mesecih pa višje. Glede pogostosti košenja velja: pogosteje, kot se travna ruša kosi, bolj gosta je le-ta. Rezila kosilnice za košenje travne ruše morajo biti dobro nabrušena. Slabo nabrušena rezila namreč pulijo šope trave in povzročajo redčenje in s tem nezaželene prazne prostore. Pokošeno zelenje, ki ostane po košnji, redno odstranimo.</t>
    </r>
  </si>
  <si>
    <r>
      <rPr>
        <b/>
        <sz val="10"/>
        <color theme="1"/>
        <rFont val="Calibri"/>
        <family val="2"/>
        <charset val="238"/>
        <scheme val="minor"/>
      </rPr>
      <t>travni tepih</t>
    </r>
    <r>
      <rPr>
        <sz val="10"/>
        <color theme="1"/>
        <rFont val="Calibri"/>
        <family val="2"/>
        <charset val="238"/>
        <scheme val="minor"/>
      </rPr>
      <t>, dobava in polaganje z vsemi transporti, prirezi in potrebno nego, z vsemi izkopi, nivelacijami, prilagoditvami … v zvitkih. Polaganje po sistemu in navodilih dobavitelja tepiha, vključno s pripravo podlage in navodili za vzdrževanje in nego.</t>
    </r>
  </si>
  <si>
    <t>šoba VULKAN  43-3T</t>
  </si>
  <si>
    <t>talni zajem PVC-INOX</t>
  </si>
  <si>
    <t>PVC prehod za cev fi 50</t>
  </si>
  <si>
    <t>črpalka za vodno atrakcijo 0,37kW - 11,3 m3/h</t>
  </si>
  <si>
    <t>PVC ventil fi50</t>
  </si>
  <si>
    <t>PVC nepovratni ventil fi50</t>
  </si>
  <si>
    <t>PVC trasa fi50</t>
  </si>
  <si>
    <t>drobni montažni material</t>
  </si>
  <si>
    <t>lepilo</t>
  </si>
  <si>
    <t>čistilo</t>
  </si>
  <si>
    <t>l</t>
  </si>
  <si>
    <t>C30/37; S3-4, D max=16</t>
  </si>
  <si>
    <t>XC4 - ozmenično mokro in suho</t>
  </si>
  <si>
    <t>XD3 - izmenično mokro in suho s klorifi</t>
  </si>
  <si>
    <t>XF4 - močno mokro s soljo in zmrzaljo (OPZT - S25)</t>
  </si>
  <si>
    <t>XM2 - za lahko prometno obremenitev (002)</t>
  </si>
  <si>
    <t>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Stike stari novi beton je premazati z ELASTOSILOM ali podobnim drugim proizvodom enake kvalitete. Odprtine v betonu velikosti do 0,5 m2 se ne odbijajo, opaž škatle se ne obračunava posebej. projekt betona pripravi izvajalec del; potrdi ga projektant gradbenih konstrukcij in gradbeni nadzor!
Splošno o izgledu betonov: Vsi betoni morajo biti izdelani v kvalitetnem opažu in ravni. Vse betonske površine mora izvajalec predati polnoma ravne, vse neravnine, ki bi jih bilo eventuelno potrebno izravnati bodo upoštevane kot nekvalitene in gredo na račun izvajalca betonskih del!
Kvaliteto betona kontolirati in vgraditi po armaturnem načrtu!
Pri teži armature je upoštevan nominalni premer palice (brez reber)!</t>
  </si>
  <si>
    <r>
      <t>Pazljivo:</t>
    </r>
    <r>
      <rPr>
        <sz val="10"/>
        <rFont val="Calibri"/>
        <family val="2"/>
        <charset val="238"/>
        <scheme val="minor"/>
      </rPr>
      <t xml:space="preserve"> fontana se izvede kot viden beton = kot osnova za gladko brušenje</t>
    </r>
  </si>
  <si>
    <r>
      <rPr>
        <b/>
        <sz val="10"/>
        <rFont val="Calibri"/>
        <family val="2"/>
        <charset val="238"/>
        <scheme val="minor"/>
      </rPr>
      <t xml:space="preserve">Betoniranje neramiranega podložnega betona </t>
    </r>
    <r>
      <rPr>
        <sz val="10"/>
        <rFont val="Calibri"/>
        <family val="2"/>
        <charset val="238"/>
        <scheme val="minor"/>
      </rPr>
      <t xml:space="preserve">z betonom kakovosti B.1, C 12/15, XC0, agregat frakcije 0-16 mm, preseka 0,08-0,12 m3/m2-m, nepigmentiran = siv beton. Dobava in vgradnja, površina zaglajena
</t>
    </r>
  </si>
  <si>
    <r>
      <t xml:space="preserve">Dobava in vgrajevanje </t>
    </r>
    <r>
      <rPr>
        <b/>
        <sz val="10"/>
        <rFont val="Calibri"/>
        <family val="2"/>
        <charset val="238"/>
        <scheme val="minor"/>
      </rPr>
      <t>armiranega betona</t>
    </r>
    <r>
      <rPr>
        <sz val="10"/>
        <rFont val="Calibri"/>
        <family val="2"/>
        <charset val="238"/>
        <scheme val="minor"/>
      </rPr>
      <t xml:space="preserve"> po SIST 1026 in SIST 206-1</t>
    </r>
  </si>
  <si>
    <r>
      <rPr>
        <b/>
        <sz val="10"/>
        <color indexed="8"/>
        <rFont val="Calibri"/>
        <family val="2"/>
        <charset val="238"/>
        <scheme val="minor"/>
      </rPr>
      <t>Armatura betonerskih del.</t>
    </r>
    <r>
      <rPr>
        <sz val="10"/>
        <color indexed="8"/>
        <rFont val="Calibri"/>
        <family val="2"/>
        <charset val="238"/>
        <scheme val="minor"/>
      </rPr>
      <t xml:space="preserve"> Po količinah in specifikaciji v armaturnih načrtih. Dobava in vgradnja z vsemi pomožnimi elementi.</t>
    </r>
  </si>
  <si>
    <t>razred vsebnosti klorida - Cl 0,20 (&lt;= 0,2%)</t>
  </si>
  <si>
    <t>XF4 - V/C max = 0,45 - preglednica F.1 - SIST EN 206-1</t>
  </si>
  <si>
    <t>minimalna vsebnost zraka 4% - preglednica F1</t>
  </si>
  <si>
    <t>agregat po pr EN 12620:2000 z zadostno odpornostjo proti zmrzovanju / taljenju - preflednica F-1</t>
  </si>
  <si>
    <t>skrbna mokra nega v trajanju najmanj 7 dni</t>
  </si>
  <si>
    <t>dvojna PVC ali PE folija</t>
  </si>
  <si>
    <t>zmrzlinsko odporen kamniti material - tampon h = 30 cm, Evd = 40 Mpa</t>
  </si>
  <si>
    <t>geotekstil</t>
  </si>
  <si>
    <t>raščen teren (komprimirana podlaga) EVD &gt;= 25 Mpa</t>
  </si>
  <si>
    <t>čebulic</t>
  </si>
  <si>
    <r>
      <rPr>
        <b/>
        <sz val="10"/>
        <rFont val="Calibri"/>
        <family val="2"/>
        <charset val="238"/>
        <scheme val="minor"/>
      </rPr>
      <t>bela lilija</t>
    </r>
    <r>
      <rPr>
        <sz val="10"/>
        <rFont val="Calibri"/>
        <family val="2"/>
        <charset val="238"/>
        <scheme val="minor"/>
      </rPr>
      <t xml:space="preserve"> Lilium candidum, za 4,15 m2, preferenčno nekoliko nižje variante, ki niso toliko nagnjene k padanju, a ne pritlikave. </t>
    </r>
  </si>
  <si>
    <r>
      <rPr>
        <b/>
        <sz val="10"/>
        <rFont val="Calibri"/>
        <family val="2"/>
        <charset val="238"/>
        <scheme val="minor"/>
      </rPr>
      <t xml:space="preserve">Japonska glicinija - rožnata </t>
    </r>
    <r>
      <rPr>
        <sz val="10"/>
        <rFont val="Calibri"/>
        <family val="2"/>
        <charset val="238"/>
        <scheme val="minor"/>
      </rPr>
      <t>Wisteria floribunda 'Royal Purple', vključno z začasno oporo do višine ograje, sajenje na spodnji strani opornega zidu. Vključno s privezom.</t>
    </r>
  </si>
  <si>
    <r>
      <rPr>
        <b/>
        <sz val="10"/>
        <rFont val="Calibri"/>
        <family val="2"/>
        <charset val="238"/>
        <scheme val="minor"/>
      </rPr>
      <t>Kavkaška spominčica</t>
    </r>
    <r>
      <rPr>
        <sz val="10"/>
        <rFont val="Calibri"/>
        <family val="2"/>
        <charset val="238"/>
        <scheme val="minor"/>
      </rPr>
      <t xml:space="preserve"> Brunera macrophylla, za 7,07 m2, v grupi A</t>
    </r>
  </si>
  <si>
    <r>
      <rPr>
        <b/>
        <sz val="10"/>
        <rFont val="Calibri"/>
        <family val="2"/>
        <charset val="238"/>
        <scheme val="minor"/>
      </rPr>
      <t>Dišeča vijolica</t>
    </r>
    <r>
      <rPr>
        <sz val="10"/>
        <rFont val="Calibri"/>
        <family val="2"/>
        <charset val="238"/>
        <scheme val="minor"/>
      </rPr>
      <t xml:space="preserve"> Viola odorata, za 7,07 m2, v grupi A</t>
    </r>
  </si>
  <si>
    <r>
      <rPr>
        <b/>
        <sz val="10"/>
        <rFont val="Calibri"/>
        <family val="2"/>
        <charset val="238"/>
        <scheme val="minor"/>
      </rPr>
      <t>Jesenska astra</t>
    </r>
    <r>
      <rPr>
        <sz val="10"/>
        <rFont val="Calibri"/>
        <family val="2"/>
        <charset val="238"/>
        <scheme val="minor"/>
      </rPr>
      <t xml:space="preserve"> Aster dumosus 'Starlight', za 7,07 m2, v grupi F</t>
    </r>
  </si>
  <si>
    <r>
      <rPr>
        <b/>
        <sz val="10"/>
        <rFont val="Calibri"/>
        <family val="2"/>
        <charset val="238"/>
        <scheme val="minor"/>
      </rPr>
      <t>Navadni mali zvonček</t>
    </r>
    <r>
      <rPr>
        <sz val="10"/>
        <rFont val="Calibri"/>
        <family val="2"/>
        <charset val="238"/>
        <scheme val="minor"/>
      </rPr>
      <t xml:space="preserve"> Galanthus nivalis,  sajen med astre v točkovnih krožnih poudarkih - dogovor na terenu, v grupi F</t>
    </r>
  </si>
  <si>
    <r>
      <rPr>
        <b/>
        <sz val="10"/>
        <rFont val="Calibri"/>
        <family val="2"/>
        <charset val="238"/>
        <scheme val="minor"/>
      </rPr>
      <t>Podlesna vetrnica,</t>
    </r>
    <r>
      <rPr>
        <sz val="10"/>
        <rFont val="Calibri"/>
        <family val="2"/>
        <charset val="238"/>
        <scheme val="minor"/>
      </rPr>
      <t xml:space="preserve"> Anemone nemorosa, za cca 4 m2, pod lilijami</t>
    </r>
  </si>
  <si>
    <r>
      <rPr>
        <b/>
        <sz val="10"/>
        <rFont val="Calibri"/>
        <family val="2"/>
        <charset val="238"/>
        <scheme val="minor"/>
      </rPr>
      <t>Črni teloh</t>
    </r>
    <r>
      <rPr>
        <sz val="10"/>
        <rFont val="Calibri"/>
        <family val="2"/>
        <charset val="238"/>
        <scheme val="minor"/>
      </rPr>
      <t xml:space="preserve"> Heleborus niger, obroba okoli zlate tise, 5 kosov /m1,  tekočih metrov 7 ,85</t>
    </r>
  </si>
  <si>
    <r>
      <rPr>
        <b/>
        <sz val="10"/>
        <rFont val="Calibri"/>
        <family val="2"/>
        <charset val="238"/>
        <scheme val="minor"/>
      </rPr>
      <t>Dvolistna morska čebulica</t>
    </r>
    <r>
      <rPr>
        <sz val="10"/>
        <rFont val="Calibri"/>
        <family val="2"/>
        <charset val="238"/>
        <scheme val="minor"/>
      </rPr>
      <t xml:space="preserve"> Scilla bifolia, obroba okoli zlate tise, računamo pas cca 50 cm, dolžina 7,85, sajenje min. 5/5 cm čebulica</t>
    </r>
  </si>
  <si>
    <r>
      <rPr>
        <b/>
        <sz val="10"/>
        <rFont val="Calibri"/>
        <family val="2"/>
        <charset val="238"/>
        <scheme val="minor"/>
      </rPr>
      <t>Pomladanski žafran</t>
    </r>
    <r>
      <rPr>
        <sz val="10"/>
        <rFont val="Calibri"/>
        <family val="2"/>
        <charset val="238"/>
        <scheme val="minor"/>
      </rPr>
      <t>, Crocus, obroba okoli zlate tise, računamo pas cca 50 cm, dolžina 7,85, sajenje min. 5/5 cm čebulica</t>
    </r>
  </si>
  <si>
    <t>grupa A na gredici 2: fi 4,20, višina cca 42 cm</t>
  </si>
  <si>
    <t>gredica 1: fi 4 m, višina cca 40 cm</t>
  </si>
  <si>
    <t>grupa F na gredici 3: fi 5 m, višina cca 50 cm</t>
  </si>
  <si>
    <t>potrebno je oblikovati gladko izbočene hrbičkaste osnove za "grupe" v višini cca 5:1 (grupa s premerom 5 m je na sredini visoka min. 50 cm) - dobava in vgradnja zemljine, utrditev - komplet</t>
  </si>
  <si>
    <r>
      <rPr>
        <b/>
        <sz val="10"/>
        <rFont val="Calibri"/>
        <family val="2"/>
        <charset val="238"/>
        <scheme val="minor"/>
      </rPr>
      <t>Zelena tisa</t>
    </r>
    <r>
      <rPr>
        <sz val="10"/>
        <rFont val="Calibri"/>
        <family val="2"/>
        <charset val="238"/>
        <scheme val="minor"/>
      </rPr>
      <t xml:space="preserve"> Taxus media 'Hillii' ali enakovredno  - sadijo se višje sadike (cca  fi 45, višina 60 cm) in prikrajšajo na želeno višino (cca 30 cm), da se TAKOJ doseže vtis kompaktnega sklenjega obrobka pri gredici. Vključno z obrezom, ki ga je potrebno izvesti z letvijo in povsem geometrično pravilno.</t>
    </r>
  </si>
  <si>
    <t>B-04 - TEHNOLOGIJA FONTANE</t>
  </si>
  <si>
    <t>AB plošča školjke fontane, radij 2,8 m, debelina 30 cm</t>
  </si>
  <si>
    <t>AB nastavki školjke fontane, širina 45 cm, višina 40 cm, zgornji robovi uviti radij 5 cm</t>
  </si>
  <si>
    <t>severni in zahodni zid zgornjega parterja, kvadratura m2 spodaj, vključno s pasom cca 70 cm pod nivojem sedanjega terena (ocena)</t>
  </si>
  <si>
    <r>
      <rPr>
        <b/>
        <sz val="10"/>
        <color theme="1"/>
        <rFont val="Calibri"/>
        <family val="2"/>
        <charset val="238"/>
        <scheme val="minor"/>
      </rPr>
      <t>Sidranje starega zidanega opornega zidu v nov AB oporni zid</t>
    </r>
    <r>
      <rPr>
        <sz val="10"/>
        <color theme="1"/>
        <rFont val="Calibri"/>
        <family val="2"/>
        <charset val="238"/>
        <scheme val="minor"/>
      </rPr>
      <t>, po navodilih statika in geologa, predvideno sidranje v frekvenci cca 1 sidro/m2 zidu, sidra globine cca 0,85 m oz. po stanju na terenu. dobava in vgradnja z vsemi potrebnimi fazami dela (vključno z vrtanjem razprašitvijo in osušitvijo izvrtin), ulepljenjem (dobava in vgradnja specialne mase za uepljenje), s  preskusi, z vsem tesnilnim in pritrdilnim materialom, vključno z delovnimi odri za vrtanje in izvajanje del ipd.</t>
    </r>
  </si>
  <si>
    <t>spodnja stran, dolžina zahodni in severni zid x 1 m globine x 1 m širine, brežina pod kotom cca 45 stopinj</t>
  </si>
  <si>
    <t>spodnja stran krožni zid</t>
  </si>
  <si>
    <t xml:space="preserve"> - upoštevana kvadratura opornega zidu + 1 m višine zgoraj (varovanje)+ 1 m višine spodaj (strm teren)</t>
  </si>
  <si>
    <t xml:space="preserve"> - tkanine za varovanje zafugiranega zidu pred atmosferskimi vplivi (premočno sonce, dež)</t>
  </si>
  <si>
    <t>ravni severni in zahodni zid</t>
  </si>
  <si>
    <t>krožni zid okoli lipe</t>
  </si>
  <si>
    <r>
      <t xml:space="preserve">odstranitev nečistoč, rastlinja, slabo vezanega in prhlega ali razpokanega veziva ter betonskih plomb na zidu, z dleti ali sekirico, </t>
    </r>
    <r>
      <rPr>
        <sz val="10"/>
        <color theme="1"/>
        <rFont val="Calibri"/>
        <family val="2"/>
        <charset val="238"/>
        <scheme val="minor"/>
      </rPr>
      <t>z nalaganjem na tovornjak, odvoz na deponijo gradbenih odpadkov v radiju 20 km, s plačilom deponijskih pristojbin. Na notranji in zunanji strani zidu</t>
    </r>
    <r>
      <rPr>
        <b/>
        <sz val="10"/>
        <color theme="1"/>
        <rFont val="Calibri"/>
        <family val="2"/>
        <charset val="238"/>
        <scheme val="minor"/>
      </rPr>
      <t xml:space="preserve">, </t>
    </r>
    <r>
      <rPr>
        <sz val="10"/>
        <color theme="1"/>
        <rFont val="Calibri"/>
        <family val="2"/>
        <charset val="238"/>
        <scheme val="minor"/>
      </rPr>
      <t>vključiti tudi</t>
    </r>
    <r>
      <rPr>
        <b/>
        <sz val="10"/>
        <color theme="1"/>
        <rFont val="Calibri"/>
        <family val="2"/>
        <charset val="238"/>
        <scheme val="minor"/>
      </rPr>
      <t>: razprašitev oz. pranje zidu z visokotlačnim čistilcem, 2x.</t>
    </r>
  </si>
  <si>
    <t>PV-II - dovoljeni prodor vode 30 mm + max 10 mm</t>
  </si>
  <si>
    <r>
      <rPr>
        <b/>
        <sz val="10"/>
        <color theme="1"/>
        <rFont val="Calibri"/>
        <family val="2"/>
        <charset val="238"/>
        <scheme val="minor"/>
      </rPr>
      <t>arheološki nadzor pri izkopih</t>
    </r>
    <r>
      <rPr>
        <sz val="10"/>
        <color theme="1"/>
        <rFont val="Calibri"/>
        <family val="2"/>
        <charset val="238"/>
        <scheme val="minor"/>
      </rPr>
      <t xml:space="preserve"> oz. vseh zemeljskih delih - komplet. Vključno s pridobitvijo vseh potrebnih soglasij ZVKDS oz. Ministrstva za kulturo za psoege v zemeljske plasti. Pooblaščena institucija Vključno s potrebnimi poročili. Upoštevano območje zgornjega parterja in razširitev zaradi izkopov pod opornimi zudovi = cca 920 m2 + za vodovodni priključek in meteorno kanalizacijo. </t>
    </r>
  </si>
  <si>
    <r>
      <rPr>
        <b/>
        <sz val="10"/>
        <color theme="1"/>
        <rFont val="Calibri"/>
        <family val="2"/>
        <charset val="238"/>
        <scheme val="minor"/>
      </rPr>
      <t>betoniranje novega opornega AB zidu v debelini min. 30 cm</t>
    </r>
    <r>
      <rPr>
        <sz val="10"/>
        <color theme="1"/>
        <rFont val="Calibri"/>
        <family val="2"/>
        <charset val="238"/>
        <scheme val="minor"/>
      </rPr>
      <t xml:space="preserve"> na notranji strani severnega in zahodnega zidu zgornjega parterja, višina do cca 3,5 m - ocenjeno, oz. do skalne osnove - prilagoditi po stanju na terenu. Upoštevana debelina 35 cm, ker bo beton zapolnjeval tudu kaverne med kamni starega opornega zidu. samo ob severnem in zahodnem zidu zgornjega parterja</t>
    </r>
  </si>
  <si>
    <t>severni in zahodni zid</t>
  </si>
  <si>
    <t>priprava: opravljena mora biti odstranitev nečistoč in razprašitev. zid navlažimo tako, da vlago temeljito vpije. Prefugiranje se izvaja do skalne osnove na zunanji strani zidu.</t>
  </si>
  <si>
    <r>
      <rPr>
        <b/>
        <sz val="10"/>
        <color theme="1"/>
        <rFont val="Calibri"/>
        <family val="2"/>
        <charset val="238"/>
        <scheme val="minor"/>
      </rPr>
      <t>injektiranje opornega zidu s cementno injekcijsko maso.</t>
    </r>
    <r>
      <rPr>
        <sz val="10"/>
        <color theme="1"/>
        <rFont val="Calibri"/>
        <family val="2"/>
        <charset val="238"/>
        <scheme val="minor"/>
      </rPr>
      <t xml:space="preserve"> postopek po: http://www.gi-zrmk.si/media/uploads/public/document/51-9_clanek_sl.pdf
zidove je najprej potrebno enostransko navrtati. Razmak med vrtinami mora znašati približno 50 cm v obe smeri (okvirno 4 vrtine na m2 zidu), globoke pa morajo biti do dve tretjini debeline zidu. V vrtine se s hitro vezočim cementom vgradijo jekleni injekcijski nastavki (cevke). Zid je skozi injekcijske nastavke najprej treba namočiti (s pitno vodo se izpere prah, gradivo znotraj zidu pa je potrebno dovolj navlažiti, tako da se kasneje vstopajoča injekcijska masa takoj ne “zapeče”). Injektiranje se prične pri spodnjih vrtinah ter se nadaljuje proti zgornjim. Masa se v zidove takorekoč naliva pod majhnim pritiskom (zaradi lastne teže masa dobro zaliva tudi nižje ležeče dele zidu). Injektiranja zidu od zgoraj navzdol ni priporočljivo izvajati, ker strjujoča se masa sproti zapira kanale proti nižje ležečim delom zidu in kakovostna zapolnitev votlin ni možna. Po končanem injektiranju se cevke odstranijo.  Poraba se običajno giblje med 60 in 80 kg mase na kubični meter. 
Injekcijska masa oziroma suspenzija, ki jo mešamo na gradbišču, je sestavljena iz cementa, polnila in pitne vode, ki se dodaja v takem razmerju, da je masa primerno viskozna za vgrajevanje z injekcijsko napravo. Masi se praviloma primeša dodatek za kompenzacijo krčenja. točno sestavo mase predlaga izvajalec, potrjuje konservator.
dobava in vgradnja vsega potrebnega gradiva z vsem drobnim materialom, tesnilnimi sredstvi, zvsemi tehničnimi postopki, transporti materiala ipd. Navedena je ocenjena kubatura zidov, ki se injektirajo - samo severni in zahodni zid, ocenjena debelina podzemnega dela zidu: 70 cm</t>
    </r>
  </si>
  <si>
    <r>
      <rPr>
        <b/>
        <sz val="10"/>
        <color theme="1"/>
        <rFont val="Calibri"/>
        <family val="2"/>
        <charset val="238"/>
        <scheme val="minor"/>
      </rPr>
      <t xml:space="preserve">vključno: odstranitev cevk, čiščenje mest, ki so umazana z injektirno maso - po zaključenem strjevanju - </t>
    </r>
    <r>
      <rPr>
        <sz val="10"/>
        <color theme="1"/>
        <rFont val="Calibri"/>
        <family val="2"/>
        <charset val="238"/>
        <scheme val="minor"/>
      </rPr>
      <t xml:space="preserve">delno odbijanje, delno krtačenje zidu z žičnimi krtačami oz. po navodilih konservatorja </t>
    </r>
  </si>
  <si>
    <r>
      <rPr>
        <b/>
        <sz val="10"/>
        <color theme="1"/>
        <rFont val="Calibri"/>
        <family val="2"/>
        <charset val="238"/>
        <scheme val="minor"/>
      </rPr>
      <t>zasip ob opornem zidu z drenažnim tamponom - na spodnji strani</t>
    </r>
    <r>
      <rPr>
        <sz val="10"/>
        <color theme="1"/>
        <rFont val="Calibri"/>
        <family val="2"/>
        <charset val="238"/>
        <scheme val="minor"/>
      </rPr>
      <t>, po plasteh, sprotno utrjevanje. Ob ravnem in krožnem opornem zidu.</t>
    </r>
  </si>
  <si>
    <r>
      <t xml:space="preserve">zasip z zemljino od izkopa, humusiranje v višini min. 20 cm, valjanje, setev travnega semena in nega trave. </t>
    </r>
    <r>
      <rPr>
        <sz val="10"/>
        <color theme="1"/>
        <rFont val="Calibri"/>
        <family val="2"/>
        <charset val="238"/>
        <scheme val="minor"/>
      </rPr>
      <t>Na spodnji strani opornega zidu, upoštevan pas v širini cca 1,5 m</t>
    </r>
  </si>
  <si>
    <r>
      <t xml:space="preserve">Dobava in vgrajevanje </t>
    </r>
    <r>
      <rPr>
        <b/>
        <sz val="10"/>
        <rFont val="Calibri"/>
        <family val="2"/>
        <charset val="238"/>
        <scheme val="minor"/>
      </rPr>
      <t>armiranega betona</t>
    </r>
    <r>
      <rPr>
        <sz val="10"/>
        <rFont val="Calibri"/>
        <family val="2"/>
        <charset val="238"/>
        <scheme val="minor"/>
      </rPr>
      <t xml:space="preserve"> po SIST 1026 in SIST 206-1, siv agregat, siv cement</t>
    </r>
  </si>
  <si>
    <r>
      <t xml:space="preserve">zasip z zemljino od izkopa - na zgornji strani. </t>
    </r>
    <r>
      <rPr>
        <sz val="10"/>
        <color theme="1"/>
        <rFont val="Calibri"/>
        <family val="2"/>
        <charset val="238"/>
        <scheme val="minor"/>
      </rPr>
      <t>S sprotnim utrjevanjem po plasteh do predpisane zbitosti</t>
    </r>
  </si>
  <si>
    <t>na zgornji strani - vključno z dobavo in nameščanjem geofilca proti zamuljenju, z zasipanjem v plasteh po max. 30 cm  in s sprotnim komprimiranjem.  Ev2 = 85 MN/m2 , kompresijsko razmerje  Ev2/Ev1 &lt;= 2,2, stolpec min. 50 cm širine</t>
  </si>
  <si>
    <t>na spodnji strani: širina 50 cm, višina 75 cm - ocena</t>
  </si>
  <si>
    <t>pod novimi segmenti opornih zidov, debelina 5 cm, prerez 0,0625 m2/m1, ravni + krožni segment</t>
  </si>
  <si>
    <t>pod AB ploščo fontane, debelina 10 cm, radij 2,85</t>
  </si>
  <si>
    <t>pod AB ploščo strojnice, debelina 10 cm</t>
  </si>
  <si>
    <r>
      <rPr>
        <b/>
        <sz val="10"/>
        <rFont val="Calibri"/>
        <family val="2"/>
        <charset val="238"/>
        <scheme val="minor"/>
      </rPr>
      <t>pusti beton</t>
    </r>
    <r>
      <rPr>
        <sz val="10"/>
        <rFont val="Calibri"/>
        <family val="2"/>
        <charset val="238"/>
        <scheme val="minor"/>
      </rPr>
      <t xml:space="preserve"> za zalivanje stikov med kamnito osnovo in nivojem podložnih betonov, dobava in vgradnja, ocena</t>
    </r>
  </si>
  <si>
    <t>ravne m1</t>
  </si>
  <si>
    <t>zaokrožene m1</t>
  </si>
  <si>
    <t>novi segmenti opornih zidov - zidovi, višino prilagoditi po terenu, ocena 1,2 m, presek 1,20m2/m1</t>
  </si>
  <si>
    <t>novi segmenti opornih zidov - temeljne pete, presek 0,48m2/m1</t>
  </si>
  <si>
    <t>ravni m1</t>
  </si>
  <si>
    <t>zaokroženi m1</t>
  </si>
  <si>
    <t>greda za ograjo - računano območje nad obstoječim opornim zidom ocenjene širine 70 cm, debelina zalivanja 20 cm, hkratno vbetoniranje sider za ograjo! Beton izven starega opornega zidu je vključen pri novem opornem zidu. Presek 0,14m2/m1</t>
  </si>
  <si>
    <t>ravna m1</t>
  </si>
  <si>
    <t>zaokrožena m1</t>
  </si>
  <si>
    <t>temeljna plošča deb. 20 cm, 5,25 m2</t>
  </si>
  <si>
    <t>stropna plošča deb. 20 cm, 3,76 m2 - odštet vhod</t>
  </si>
  <si>
    <t>pri vseh izkopih velja: s strojnim in ročnim nalaganjem na tovornjak, odvoz na deponijo gradbenih odpadkov v radiu 20 km in plačilom deponijskih pristojbin</t>
  </si>
  <si>
    <t>ocena 2/3 III kategorija</t>
  </si>
  <si>
    <t>ocena 1/3 VI. do VII. kategorija (domnevno skala - nepodajna kamninska podlaga iz andezita oz. dacita - pikiranje)</t>
  </si>
  <si>
    <r>
      <rPr>
        <b/>
        <sz val="10"/>
        <rFont val="Calibri"/>
        <family val="2"/>
        <charset val="238"/>
        <scheme val="minor"/>
      </rPr>
      <t>površinski izkop in odriv humusa/plodne zemljine na gradbiščno deponijo</t>
    </r>
    <r>
      <rPr>
        <sz val="10"/>
        <rFont val="Calibri"/>
        <family val="2"/>
        <charset val="238"/>
        <scheme val="minor"/>
      </rPr>
      <t>, višina cca 37 cm, s skladiščenjem za ponovno uporabo, višek se odpelje na deponijo v radiju 20 km ali uporabi za drzuga humusirnja na gradbišču, razstiranje, plačilo pristojbin. II kategorija: navadna zemlja. Samo območje obstoječe zelenice sredi parkirišča - cca m2:</t>
    </r>
  </si>
  <si>
    <t>ostale utrjene površine izven zelenice m2</t>
  </si>
  <si>
    <t>zgornja stran, kvadratura zahodni in severni zid, širina cca 1,5 m - do globine -37 cm že zajeto pri zemeljskih delih</t>
  </si>
  <si>
    <t>zemljina III. kategorije - ocena cca 50% izkopa, ostalo VI. do VII. Kategorija - nepodajna kamninska podlaga iz andezita oz. dacita</t>
  </si>
  <si>
    <t>za ograjo - samo krožni segment</t>
  </si>
  <si>
    <t xml:space="preserve">FREKVENČNI KRMILNIK </t>
  </si>
  <si>
    <t>WIND CONTROL</t>
  </si>
  <si>
    <t>kabliranje</t>
  </si>
  <si>
    <t>elektronska dozirna  črpalka za Cl</t>
  </si>
  <si>
    <t>elektronska dozirna  črpalka za pH</t>
  </si>
  <si>
    <t>posodica za merilno sondo</t>
  </si>
  <si>
    <t>držalo za sondo</t>
  </si>
  <si>
    <t>merilna sonda pH</t>
  </si>
  <si>
    <t>merilna sonda redox Cl</t>
  </si>
  <si>
    <t>pufer za kalibracijo sond</t>
  </si>
  <si>
    <t>T kos fi 50</t>
  </si>
  <si>
    <t>R kos 50-1/2" n.n.</t>
  </si>
  <si>
    <t>elektro material</t>
  </si>
  <si>
    <t>tekočina za uravnavanje pH-ja, 25 kg</t>
  </si>
  <si>
    <t>Tekoči klor 35kg</t>
  </si>
  <si>
    <t>lepilo Tangit</t>
  </si>
  <si>
    <t>čistilo Tangit</t>
  </si>
  <si>
    <r>
      <rPr>
        <b/>
        <sz val="10"/>
        <rFont val="Calibri"/>
        <family val="2"/>
        <charset val="238"/>
        <scheme val="minor"/>
      </rPr>
      <t xml:space="preserve">izkop za nove oporne zidove ter za strojnico in fontano </t>
    </r>
    <r>
      <rPr>
        <sz val="10"/>
        <rFont val="Calibri"/>
        <family val="2"/>
        <charset val="238"/>
        <scheme val="minor"/>
      </rPr>
      <t xml:space="preserve"> - kombiniran strojni in ročni izkop </t>
    </r>
  </si>
  <si>
    <r>
      <rPr>
        <b/>
        <sz val="10"/>
        <rFont val="Calibri"/>
        <family val="2"/>
        <charset val="238"/>
        <scheme val="minor"/>
      </rPr>
      <t xml:space="preserve">širok strojni izkop za izvedbo substrukcij in tamponov ter novo humusiranje </t>
    </r>
    <r>
      <rPr>
        <sz val="10"/>
        <rFont val="Calibri"/>
        <family val="2"/>
        <charset val="238"/>
        <scheme val="minor"/>
      </rPr>
      <t xml:space="preserve">- po celotnem območju izven zelenice do -37 cm, strojno z nakladanjem </t>
    </r>
  </si>
  <si>
    <r>
      <rPr>
        <b/>
        <sz val="10"/>
        <color theme="1"/>
        <rFont val="Calibri"/>
        <family val="2"/>
        <charset val="238"/>
        <scheme val="minor"/>
      </rPr>
      <t>Utrditev planuma spodnjega ustroja</t>
    </r>
    <r>
      <rPr>
        <sz val="10"/>
        <color theme="1"/>
        <rFont val="Calibri"/>
        <family val="2"/>
        <charset val="238"/>
        <scheme val="minor"/>
      </rPr>
      <t xml:space="preserve"> z grobim in finim planiranjem in komprimiranjem Ev2=40MPa - območje utrjenih površin</t>
    </r>
  </si>
  <si>
    <t>pod pokrovnimi trajnicami v višini min. 37  cm</t>
  </si>
  <si>
    <r>
      <rPr>
        <b/>
        <sz val="10"/>
        <rFont val="Calibri"/>
        <family val="2"/>
        <charset val="238"/>
        <scheme val="minor"/>
      </rPr>
      <t>humusiranje območja zelenic  v višini cca 30 cm</t>
    </r>
    <r>
      <rPr>
        <sz val="10"/>
        <rFont val="Calibri"/>
        <family val="2"/>
        <charset val="238"/>
        <scheme val="minor"/>
      </rPr>
      <t xml:space="preserve">, odstranitev kamnov, grabljenje, valjanje. Uporabi se humus z deponije in po potrebi dovozi od drugod. </t>
    </r>
  </si>
  <si>
    <t>pod temelji za ograjo - samo krožni segment</t>
  </si>
  <si>
    <r>
      <rPr>
        <b/>
        <sz val="10"/>
        <color indexed="8"/>
        <rFont val="Calibri"/>
        <family val="2"/>
        <charset val="238"/>
        <scheme val="minor"/>
      </rPr>
      <t>Armatura betonerskih del.</t>
    </r>
    <r>
      <rPr>
        <sz val="10"/>
        <color indexed="8"/>
        <rFont val="Calibri"/>
        <family val="2"/>
        <charset val="238"/>
        <scheme val="minor"/>
      </rPr>
      <t xml:space="preserve"> Po količinah in specifikaciji v armaturnih načrtih. Dobava in vgradnja z vsemi pomožnimi elementi. Ocena 100 kg/m3.</t>
    </r>
  </si>
  <si>
    <r>
      <rPr>
        <b/>
        <sz val="10"/>
        <color theme="1"/>
        <rFont val="Calibri"/>
        <family val="2"/>
        <charset val="238"/>
        <scheme val="minor"/>
      </rPr>
      <t>izkop zemljine do temeljev zidu oz. do skalne osnove</t>
    </r>
    <r>
      <rPr>
        <sz val="10"/>
        <color theme="1"/>
        <rFont val="Calibri"/>
        <family val="2"/>
        <charset val="238"/>
        <scheme val="minor"/>
      </rPr>
      <t xml:space="preserve">, s spodnje = vidne strani, in z zgornje strani, z začasnim odmetom za finalni zasip. Višek se naloži na tovornjak in odpelje na deponijo v radiju 20 km, z razstiranjem in plačilom deponijskih pristojbin. Z opiranjem na globljih delih po navodilih varnostnega inženirja. kampadno delo, da ne bi prišlo do destabilizacije starega opornega zidu. </t>
    </r>
    <r>
      <rPr>
        <b/>
        <sz val="10"/>
        <color theme="1"/>
        <rFont val="Calibri"/>
        <family val="2"/>
        <charset val="238"/>
        <scheme val="minor"/>
      </rPr>
      <t xml:space="preserve">vključno z opiranjem starega opornega zidu s spodnje strani </t>
    </r>
    <r>
      <rPr>
        <sz val="10"/>
        <color theme="1"/>
        <rFont val="Calibri"/>
        <family val="2"/>
        <charset val="238"/>
        <scheme val="minor"/>
      </rPr>
      <t xml:space="preserve">podpiranje pred in med izvajanjem rušitvenih del s kovinskimi ali lesenimi stojkami in oporami po sistemu izvajalca, dobava in vgradnja podpor z vsem potrebnim stabilizacijskim, podložnim in drugim materialom ter demontaža in odvoz.  vključno z odstranitvijo podpor iz objekta in z gradbišča. frekvenco in pozicije stojk potrjuje nadzor, po potrebi tudi projektant gradbenih konstrukcij. </t>
    </r>
  </si>
  <si>
    <t>opaž roba AB plošč in temeljnih gred ter nastavkov</t>
  </si>
  <si>
    <t>za grede za ograje - samo ukrivljeni del</t>
  </si>
  <si>
    <t>za AB ploščo školjke fontane - ukrivljeno v pravilen krog, višina 30 cm</t>
  </si>
  <si>
    <t>zunanji obod, višina 70 cm, radij 2,80 m</t>
  </si>
  <si>
    <t xml:space="preserve"> notranji obod, radij 2,35 m, višina 40 cm</t>
  </si>
  <si>
    <t>znotraj višina 1 m</t>
  </si>
  <si>
    <t>zunaj, višina 1,2 m - vključno z opažem za rob AB stropne plošče</t>
  </si>
  <si>
    <t>skala 1 min. 2,10 x 1,30 x 1,3 m</t>
  </si>
  <si>
    <t>skala 2 min. 1,60 x 1 x 1 m</t>
  </si>
  <si>
    <t>skala 3 min. 1,50 x ,9 x ,9 m</t>
  </si>
  <si>
    <t>vmesni elementi - lomljenec cca 0,5 m3</t>
  </si>
  <si>
    <r>
      <rPr>
        <b/>
        <sz val="10"/>
        <rFont val="Calibri"/>
        <family val="2"/>
        <charset val="238"/>
        <scheme val="minor"/>
      </rPr>
      <t xml:space="preserve">lestev za dostop v strojnico, </t>
    </r>
    <r>
      <rPr>
        <sz val="10"/>
        <rFont val="Calibri"/>
        <family val="2"/>
        <charset val="238"/>
        <scheme val="minor"/>
      </rPr>
      <t>vgrajena v steno, višina 90 cm, nerjavna, dobava in vgradnja z vsm pritrdilnim materialom</t>
    </r>
  </si>
  <si>
    <t>zazidavanje in zalivanje odprtin v zidovih strojnice in fontane, tesnjenje hidroizolacije ipd.</t>
  </si>
  <si>
    <t>zunanja ploskev oboda, višina obdelave 25 cm, radij 2,8 m</t>
  </si>
  <si>
    <t>notranja ploskev oboda, višina 30 cm, radij 2,35 m</t>
  </si>
  <si>
    <t>vrhnja plosev oboda in notranja ploskev fontane, radij 2,8 m</t>
  </si>
  <si>
    <r>
      <rPr>
        <b/>
        <sz val="10"/>
        <rFont val="Calibri"/>
        <family val="2"/>
        <charset val="238"/>
        <scheme val="minor"/>
      </rPr>
      <t>strokovna nega obstoječih dreves na območju parterja:</t>
    </r>
    <r>
      <rPr>
        <sz val="10"/>
        <rFont val="Calibri"/>
        <family val="2"/>
        <charset val="238"/>
        <scheme val="minor"/>
      </rPr>
      <t xml:space="preserve"> lipa pred mostovžem, drevje ob opornem zidu - strokovni obrez krošnje - izvesti pred tlakovanjem območja. Vljučno z nalaganjem zelenega obreza na tovornjak in odvozom na deponijo zelenega obreza v radiju do 20 km </t>
    </r>
  </si>
  <si>
    <t xml:space="preserve">drenaža ob novem AB opornem zidu je zajeta pri sanaciji starega opornega zidu </t>
  </si>
  <si>
    <t>okoli fontane</t>
  </si>
  <si>
    <t>novi segmenti opornih zidov</t>
  </si>
  <si>
    <t>okoli strojnice</t>
  </si>
  <si>
    <r>
      <t>Dobava in vgradnja</t>
    </r>
    <r>
      <rPr>
        <b/>
        <sz val="10"/>
        <rFont val="Calibri"/>
        <family val="2"/>
        <charset val="238"/>
        <scheme val="minor"/>
      </rPr>
      <t xml:space="preserve">  nasipa pod temelji s kvalitetnim drenažnim tamponskim  materialom - drobljenec</t>
    </r>
    <r>
      <rPr>
        <sz val="10"/>
        <rFont val="Calibri"/>
        <family val="2"/>
        <charset val="238"/>
        <scheme val="minor"/>
      </rPr>
      <t xml:space="preserve"> granulacije 0-32 mm z razstiranjem in s sprotnim utrjevanjem do predpisane stisljivosti EV2 min.100 MN/m2, Evd = 50 Mpa, zgoščenost 95% po MPP, kompresijsko razmerje  Ev2/Ev1 &lt;= 2,2 ter planiranjem v plasteh po 15 cm, ravnost planiranja 20 mm/4m letev. V debelini cca 30 cm
</t>
    </r>
  </si>
  <si>
    <t>zasip pri saniranem opornem zidu je zajet pri sanaciji opornega zidu</t>
  </si>
  <si>
    <t>nov oporni zid - ravni in krožni segment</t>
  </si>
  <si>
    <r>
      <t xml:space="preserve">drenaža za oporni zidom, </t>
    </r>
    <r>
      <rPr>
        <sz val="10"/>
        <color theme="1"/>
        <rFont val="Calibri"/>
        <family val="2"/>
        <charset val="238"/>
        <scheme val="minor"/>
      </rPr>
      <t xml:space="preserve"> drenažne cevi DN120, komplet: dobava in vgradnja z izvedbo izkopov, posteljic v potrebnih naklonih, jaškov s pokrovi, dobavo in zavijanjem v politlak folijo ter navezavo na ponikovalnico, vključno s ponikovalnico, z dobavo in izvedbo nasutja … z vsemi tesnilnimi in spojnimi elementi. linija za zidom + cca 10 m za povezave</t>
    </r>
  </si>
  <si>
    <t>za temelji fontane</t>
  </si>
  <si>
    <t>za zidovi strojnice</t>
  </si>
  <si>
    <r>
      <rPr>
        <b/>
        <sz val="10"/>
        <color theme="1"/>
        <rFont val="Calibri"/>
        <family val="2"/>
        <charset val="238"/>
        <scheme val="minor"/>
      </rPr>
      <t>zasip za temelji in zidovi z drenažnim nasutjem,</t>
    </r>
    <r>
      <rPr>
        <sz val="10"/>
        <color theme="1"/>
        <rFont val="Calibri"/>
        <family val="2"/>
        <charset val="238"/>
        <scheme val="minor"/>
      </rPr>
      <t xml:space="preserve"> vključno z dobavo in položitvijo politlak folije, z zasipanjem v plasteh po max. 30 cm  in s sprotnim komprimiranjem.  Ev2 = 85 MN/m2 , kompresijsko razmerje  Ev2/Ev1 &lt;= 2,2, stolpec min. 50 cm širine</t>
    </r>
  </si>
  <si>
    <r>
      <t xml:space="preserve">Zasip za  temelji in zidovi </t>
    </r>
    <r>
      <rPr>
        <sz val="10"/>
        <rFont val="Calibri"/>
        <family val="2"/>
        <charset val="238"/>
        <scheme val="minor"/>
      </rPr>
      <t>z izkopnim materialom - za politlak folijo v plasteh po 30 cm, nakladanje in transport zemljine za zasip od deponije do mesta nasipanja, vključno s sprotnim komprimiranjem.</t>
    </r>
  </si>
  <si>
    <r>
      <rPr>
        <b/>
        <sz val="10"/>
        <rFont val="Calibri"/>
        <family val="2"/>
        <charset val="238"/>
        <scheme val="minor"/>
      </rPr>
      <t xml:space="preserve">OPOMBA: </t>
    </r>
    <r>
      <rPr>
        <sz val="10"/>
        <rFont val="Calibri"/>
        <family val="2"/>
        <charset val="238"/>
        <scheme val="minor"/>
      </rPr>
      <t>Vsa izkopana dela in transporti izkopanih materialov se obračunajo po prostornini izkopane zemljine v raščenem stanju! Vsa nasipna dela se obračunajo po prostornini zemljine v vgrajenem stanju! Pri izvedbi zemeljskih del je obvezna prisotnost geomehanika, le ta mora koto temeljenja pisno potrditi v gradbenem dnevniku, glede na zahtevano nosilnost tal po zahtevah projektanta GK! Črpanje vode z dna gradbene jame mora biti zajeto  v posameznih postavkah.</t>
    </r>
  </si>
  <si>
    <r>
      <t xml:space="preserve">BEL AGREGAT, BEL CEMENT </t>
    </r>
    <r>
      <rPr>
        <sz val="10"/>
        <rFont val="Calibri"/>
        <family val="2"/>
        <charset val="238"/>
        <scheme val="minor"/>
      </rPr>
      <t>- vzorec - betonsko kocko - potrjujeta arhitekt in konservator</t>
    </r>
  </si>
  <si>
    <t>za AB ploščo strojnice - naokoli</t>
  </si>
  <si>
    <t xml:space="preserve">za vhod v </t>
  </si>
  <si>
    <r>
      <rPr>
        <b/>
        <sz val="10"/>
        <rFont val="Calibri"/>
        <family val="2"/>
        <charset val="238"/>
        <scheme val="minor"/>
      </rPr>
      <t>pazljivo ročno rušenje kamnitih zidov</t>
    </r>
    <r>
      <rPr>
        <sz val="10"/>
        <rFont val="Calibri"/>
        <family val="2"/>
        <charset val="238"/>
        <scheme val="minor"/>
      </rPr>
      <t xml:space="preserve"> z grobim čiščenjem kamenja, nalaganjem in odvozom na gradbiščno deponijo za kasnejšo ponovno vgradnjo/zidavo, preostanek kamenja in vezivo naložiti na tovornja in odpeljati na deponijo gradbenega materiala oz. deponirati na drugi lokaciji - po dogovoru z investitorjem - o dogovoru izdelati zapisnik! Pri rušenju se ne smejo poškodovati ali destabilizirati spodnji deli zidanih zidov, ki bodo ostali na mestu. širina zidu cca 50-70 cm, višina do 70 cm nad trenutni teren</t>
    </r>
  </si>
  <si>
    <t>uviti deli ograje - pri lipi ob mostovžu, radij cca 5m</t>
  </si>
  <si>
    <t>POZOR! V VSEM ČASU GRADNJE JE POTREBNO ZAGOTAVLJATI DELOVANJE GRAJSKEGA PARKA IN MUZEJA VELENJE V GRADU.</t>
  </si>
  <si>
    <r>
      <rPr>
        <b/>
        <sz val="10"/>
        <rFont val="Calibri"/>
        <family val="2"/>
        <charset val="238"/>
        <scheme val="minor"/>
      </rPr>
      <t>kamnita zložba sredi fontane:</t>
    </r>
    <r>
      <rPr>
        <sz val="10"/>
        <rFont val="Calibri"/>
        <family val="2"/>
        <charset val="238"/>
        <scheme val="minor"/>
      </rPr>
      <t xml:space="preserve"> dobava in vgradanja večjih skal iz lehnjaka ter polnjenje vmesnih prostorov z manjšim kamenjem - po dogovoru z arhitektom in konseravtorjem na terenu, betonsko-cementno vezivo (oz, lepilo po predlogu izvajalca), odporno na vodo in zmrzal - čim manj vidno - potrjuje se barvni ton, prilagojen barvi kamna. Po potrebi je potrebno skale ustrezno prisekati/prirezati, da lepo stojijo na betonski školjki. Sredi skal je potrebno speljati dovod vode za šobo vodne atrakcije. dobava in vgradnja z vsem potrebnim pritrdilnim in tesnilnim materialom in vsemi deli. paziti, da se ne poškoduje betonska školjka fontane. Potrjuje se vzorec kamna pred naročilom.</t>
    </r>
  </si>
  <si>
    <r>
      <t xml:space="preserve">izvedba finalne obelave školjke fontane </t>
    </r>
    <r>
      <rPr>
        <sz val="10"/>
        <rFont val="Calibri"/>
        <family val="2"/>
        <charset val="238"/>
        <scheme val="minor"/>
      </rPr>
      <t>v sestavi:
- grobo brušenje vrhnjih robov nastavka fontane, da se doseže zaokrožitveni radij cca 5 cm
- fino brušenje celotnega vidnega dela fontane + min. 10 cm pod nivo finalnega terena - da se povsem zgladi vse vidne stike opažev, preskoke in druge poškodbe na betonski osnovi oz. se izravna vse neravnine v ploskvah
- potrjuje se vzorec finalne izvedbe min. 50/50 cm. upoštevati, da je fontana krožna.</t>
    </r>
  </si>
  <si>
    <t>GRADBENA DELA - faza 1: zgornji parter</t>
  </si>
  <si>
    <t>Zemeljska dela  - faza 1: zgornji parter</t>
  </si>
  <si>
    <t>Armiranobetonska dela  - faza 1: zgornji parter</t>
  </si>
  <si>
    <t>Tesarska dela  - faza 1: zgornji parter</t>
  </si>
  <si>
    <t>Zidarska dela  - faza 1: zgornji parter</t>
  </si>
  <si>
    <t>SANACIJA OPORNEGA ZIDU  - faza 1: zgornji parter</t>
  </si>
  <si>
    <t>Ključavničarska dela  - faza 1: zgornji parter</t>
  </si>
  <si>
    <t>OBRTNIŠKA DELA  - faza 1: zgornji parter</t>
  </si>
  <si>
    <t>Urbana oprema  - faza 1: zgornji parter</t>
  </si>
  <si>
    <t xml:space="preserve"> 16.1</t>
  </si>
  <si>
    <t xml:space="preserve"> 16.2</t>
  </si>
  <si>
    <r>
      <rPr>
        <b/>
        <sz val="10"/>
        <rFont val="Calibri"/>
        <family val="2"/>
        <charset val="238"/>
        <scheme val="minor"/>
      </rPr>
      <t>odstranitev mrtvih manjših instalacijskih jaškov in pokrovov na območju</t>
    </r>
    <r>
      <rPr>
        <sz val="10"/>
        <rFont val="Calibri"/>
        <family val="2"/>
        <charset val="238"/>
        <scheme val="minor"/>
      </rPr>
      <t xml:space="preserve"> z eventualno potrebnim zabetoniranjem vodov oz. drugačno sanacijo po dogovoru na terenu - s prehodno preverbo, ali gre dejansko za mrtev vod in neraben jašek</t>
    </r>
  </si>
  <si>
    <t xml:space="preserve">17. </t>
  </si>
  <si>
    <t>Sadilni material - faza 1: zgornji parter</t>
  </si>
  <si>
    <r>
      <rPr>
        <b/>
        <sz val="10"/>
        <rFont val="Calibri"/>
        <family val="2"/>
        <charset val="238"/>
        <scheme val="minor"/>
      </rPr>
      <t>izvedba prehoda med novimi utrjenimi pohodnimi površinami in obstoječo potjo</t>
    </r>
    <r>
      <rPr>
        <sz val="10"/>
        <rFont val="Calibri"/>
        <family val="2"/>
        <charset val="238"/>
        <scheme val="minor"/>
      </rPr>
      <t>: izravnava in utrditev obstoječe poti, nasutje enakega agregata, kakršen je uporabljen za izvedbo MAK ali enakovredne utrjene površine v višini cca 5 cm. + območje od novega kovinskega robnika do starih robnikov proti spodnjemu parterju</t>
    </r>
  </si>
  <si>
    <t>mehanski dopolnjevalec</t>
  </si>
  <si>
    <t>skoznik lin</t>
  </si>
  <si>
    <t>usmernik  LIN-ABS</t>
  </si>
  <si>
    <t>cev PVC fi 50 trda</t>
  </si>
  <si>
    <t>m</t>
  </si>
  <si>
    <t>koleno PVC fi 50</t>
  </si>
  <si>
    <t>skimer ABS - INOX prirobnica</t>
  </si>
  <si>
    <t>usmerniki povratne vode - INOX</t>
  </si>
  <si>
    <t>prehodi skozi stene - skoznik</t>
  </si>
  <si>
    <t>cevne objemke</t>
  </si>
  <si>
    <t>lepilo za PVC - Tangit</t>
  </si>
  <si>
    <t>čistilo za PVC - Tangit</t>
  </si>
  <si>
    <t>teleskopska cev ~ klip (1,2 m - 2,4 m )</t>
  </si>
  <si>
    <t>sesalna ščetka OCEAN VAC deluxe</t>
  </si>
  <si>
    <t>čistilna ščetka ročna</t>
  </si>
  <si>
    <t>ščetka kotna</t>
  </si>
  <si>
    <t>gobice</t>
  </si>
  <si>
    <t>čistilna mreža DE LUX</t>
  </si>
  <si>
    <t>cev PVC  fi 40 trda in flex</t>
  </si>
  <si>
    <t>koleno fi 40/90°</t>
  </si>
  <si>
    <t>analizator bazenske vode</t>
  </si>
  <si>
    <t>termometer plavajoči mali</t>
  </si>
  <si>
    <t>BAYROL calcinex 1l</t>
  </si>
  <si>
    <t>BAYROL dezinfektor v prahu 1kg</t>
  </si>
  <si>
    <t>BAYROL klor tablete 1,0 kg</t>
  </si>
  <si>
    <t>BAYROL Ph korektor 1,5 kg</t>
  </si>
  <si>
    <t>BAYROL DESALGIN YET 1l</t>
  </si>
  <si>
    <t>BAYROL flokulant 1l</t>
  </si>
  <si>
    <t>Filter  PRO</t>
  </si>
  <si>
    <t>6-potni ventil, povezava črpalka filter,</t>
  </si>
  <si>
    <t>zimski ventil manometer</t>
  </si>
  <si>
    <t>cirkulacijska črpalka 6m3/h</t>
  </si>
  <si>
    <t>zimski ventil,</t>
  </si>
  <si>
    <t>cev fi 50 trda</t>
  </si>
  <si>
    <t>koleno fi 50/90°</t>
  </si>
  <si>
    <t>spojka fi 50</t>
  </si>
  <si>
    <t>holandec fi 50-2''zn</t>
  </si>
  <si>
    <t>cevna objemka 47-51</t>
  </si>
  <si>
    <t>filtrirni medij quartz</t>
  </si>
  <si>
    <t>razsvetljava in ventilacija v strojnici</t>
  </si>
  <si>
    <t>varovalni elementi</t>
  </si>
  <si>
    <t>diferenčno tokovno stikalo 30 mA</t>
  </si>
  <si>
    <t>zaščita pred preobremenitvijo</t>
  </si>
  <si>
    <t>stikalo avtomatsko ročno</t>
  </si>
  <si>
    <t>stikalo navadno</t>
  </si>
  <si>
    <t>dnevni programator dela</t>
  </si>
  <si>
    <t>vodotesna omarica iz plastike</t>
  </si>
  <si>
    <t>napisi in drobni material in načrt</t>
  </si>
  <si>
    <t>kpl.</t>
  </si>
  <si>
    <t xml:space="preserve">PP-00-y 3x2,5mm² v izolirani cevi </t>
  </si>
  <si>
    <t>PP-00-y 5x2,5mm² v izolirni cevi</t>
  </si>
  <si>
    <t>PPL 2x1,5mm² - reflektor</t>
  </si>
  <si>
    <t>PP-00-y 3x1,5mm² - transformator</t>
  </si>
  <si>
    <t>drobni instalacijski material</t>
  </si>
  <si>
    <t>VODNA ATRAKCIJA – Vulkan Remax ali enakovredno</t>
  </si>
  <si>
    <t>KONTROLA VETRA IN KRMILJENJE VIŠINE CURKOV VODE ODVISNO OD MOČI VETRA</t>
  </si>
  <si>
    <t>AVTOMATSKO URAVNAVANJE pH in REDOX CL VREDNOSTI</t>
  </si>
  <si>
    <t xml:space="preserve">5. </t>
  </si>
  <si>
    <t>OPREMA  ŠKOLJKE FONTANE</t>
  </si>
  <si>
    <t>PRELIV ODVEČNE VODE IZ FONTANE v bližnjo drenažo</t>
  </si>
  <si>
    <t xml:space="preserve">9. </t>
  </si>
  <si>
    <t>ELEKTROINSTALACIJE v strojnici in na trasi</t>
  </si>
  <si>
    <t xml:space="preserve">TRANSPORTNI IN DRUGI STROŠKI </t>
  </si>
  <si>
    <t>izdelava navodil in šolanje vzdrževalcev za rokovanje s fontano</t>
  </si>
  <si>
    <t>število obiskov</t>
  </si>
  <si>
    <t>km v eno smer</t>
  </si>
  <si>
    <t>kilometrina, cestnine, dnevnice, prevozi opreme...</t>
  </si>
  <si>
    <t>spojka NAV/LEP f 50</t>
  </si>
  <si>
    <t>cev f 50 - trda PVC</t>
  </si>
  <si>
    <t>cev f 50 - gibljiva  PVC</t>
  </si>
  <si>
    <t xml:space="preserve">koleno 90 LEP/ f 50 </t>
  </si>
  <si>
    <t xml:space="preserve">T kos 90 LEP/ f 50 </t>
  </si>
  <si>
    <t xml:space="preserve">plavajoča rebrasta cev f 38  8 m </t>
  </si>
  <si>
    <r>
      <rPr>
        <b/>
        <sz val="10"/>
        <rFont val="Calibri"/>
        <family val="2"/>
        <charset val="238"/>
        <scheme val="minor"/>
      </rPr>
      <t>OPOMBA:</t>
    </r>
    <r>
      <rPr>
        <sz val="10"/>
        <rFont val="Calibri"/>
        <family val="2"/>
        <charset val="238"/>
        <scheme val="minor"/>
      </rPr>
      <t xml:space="preserve"> Vse vzorce elemntov za vgradnjo in obdelav mora izvajalec dostaviti v potrditev!</t>
    </r>
  </si>
  <si>
    <r>
      <rPr>
        <b/>
        <sz val="10"/>
        <rFont val="Calibri"/>
        <family val="2"/>
        <charset val="238"/>
        <scheme val="minor"/>
      </rPr>
      <t xml:space="preserve">OPOMBA: </t>
    </r>
    <r>
      <rPr>
        <sz val="10"/>
        <rFont val="Calibri"/>
        <family val="2"/>
        <charset val="238"/>
        <scheme val="minor"/>
      </rPr>
      <t xml:space="preserve">Izvajalec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t>
    </r>
  </si>
  <si>
    <r>
      <rPr>
        <b/>
        <sz val="10"/>
        <rFont val="Calibri"/>
        <family val="2"/>
        <charset val="238"/>
        <scheme val="minor"/>
      </rPr>
      <t>Opaži:</t>
    </r>
    <r>
      <rPr>
        <sz val="10"/>
        <rFont val="Calibri"/>
        <family val="2"/>
        <charset val="238"/>
        <scheme val="minor"/>
      </rPr>
      <t xml:space="preserve"> </t>
    </r>
    <r>
      <rPr>
        <b/>
        <sz val="10"/>
        <rFont val="Calibri"/>
        <family val="2"/>
        <charset val="238"/>
        <scheme val="minor"/>
      </rPr>
      <t>Dobava, opaženje, razopaženje, opiranje, prilagajanje po potrebi, demontaža, prenos materiala, čiščenje - komplet vsi pritrdilni in tesnilni elementi.</t>
    </r>
    <r>
      <rPr>
        <sz val="10"/>
        <rFont val="Calibri"/>
        <family val="2"/>
        <charset val="238"/>
        <scheme val="minor"/>
      </rPr>
      <t xml:space="preserve">
Opaži morajo biti izdelani tako, da bodo mere zabetoniranih elementov točno ustrezale dimenzijam po načrtih in zahtevam dobaviteljev opreme. Pred pričetkom betoniranja je potrebno preveriti, da je opaž izdelan pravilno in da je armatura na svojem mestu. Površine opaža morajo biti čiste. Površine gotovega betona, ki se vežejo oz. lepijo z novim betonom, morajo biti pravilno pripravljene. Armatura betonskih elementov se mora položiti v opaž v količini, obliki in položaju, ki je določen v projektu ali ustreznem standardu, v skladu s predpisi za beton in armirani beton. Opaži morajo biti tesni. Zlasti pri vgrajevanju betona z vibriranjem mora biti preprečeno vsako izcejanje vode ali cementno-peščenega glena. Razopaževanje konstrukcijskih elementov je odvisno od njihove pomembnosti in zunanje temperature. Trdnost betona pri odstranitvi vertikalnih opažev mora biti dovolj visoka, da ne pride do poškodb betonske površine. Opaž se odstranjuje v fazah, brez tresljajev in udarcev, ko se beton dovolj strdi. Opaž delovnega stika posameznih faz betoniranja talnih plošč mora biti ustrezno gladek (brez vidnih stikov opaža v smislu štrlečih robov, ki bi nastali zaradi zatekanja betona med slabo položene opažne elemente ali segregiranih mest, ki bi nastala zaradi iztekanja cementnega glena.</t>
    </r>
  </si>
  <si>
    <r>
      <rPr>
        <b/>
        <sz val="10"/>
        <rFont val="Calibri"/>
        <family val="2"/>
        <charset val="238"/>
        <scheme val="minor"/>
      </rPr>
      <t xml:space="preserve">SPLOŠNO: </t>
    </r>
    <r>
      <rPr>
        <sz val="10"/>
        <rFont val="Calibri"/>
        <family val="2"/>
        <charset val="238"/>
        <scheme val="minor"/>
      </rPr>
      <t>Opaži morajo biti gladki in ravni, stiki dobro zatesnjeni, da se prepreči odtekanje cementnega gela/mleka tako, da so stropne betonske površine popolnoma pripravljene za slikopleskarsko glajenje stropov (v postavkah kjer je to posebej navedeno). Izvajalec mora pustiti v vseh betonskih konstrukcijah odprtine za montažo instalacij. Odprtine v opažu velikosti do 1m 2 se ne obračunavajo posebej. Delovni, lovilni in varovalni odri se ne obračunavajo posebej, če niso navedeni v tem poglavju predračuna. Po splošnih pogojih tega predračuna je potrebno te odre vkalkulirati v enotne cene postavk.</t>
    </r>
  </si>
  <si>
    <r>
      <t>OPOMBA:</t>
    </r>
    <r>
      <rPr>
        <sz val="10"/>
        <rFont val="Calibri"/>
        <family val="2"/>
        <charset val="238"/>
        <scheme val="minor"/>
      </rPr>
      <t xml:space="preserve"> Vsi delovni stiki in dilatacije morajo biti upoštevani v enotni ceni posameznih postavk in se ne obračunavajo posebej!</t>
    </r>
  </si>
  <si>
    <r>
      <rPr>
        <b/>
        <sz val="10"/>
        <color indexed="8"/>
        <rFont val="Calibri"/>
        <family val="2"/>
        <charset val="238"/>
        <scheme val="minor"/>
      </rPr>
      <t>Enostranski opaž  podložnega  betona</t>
    </r>
    <r>
      <rPr>
        <sz val="10"/>
        <color indexed="8"/>
        <rFont val="Calibri"/>
        <family val="2"/>
        <charset val="238"/>
        <scheme val="minor"/>
      </rPr>
      <t xml:space="preserve"> </t>
    </r>
    <r>
      <rPr>
        <b/>
        <sz val="10"/>
        <color indexed="8"/>
        <rFont val="Calibri"/>
        <family val="2"/>
        <charset val="238"/>
        <scheme val="minor"/>
      </rPr>
      <t>pod temeljnimi ploščami</t>
    </r>
    <r>
      <rPr>
        <sz val="10"/>
        <color indexed="8"/>
        <rFont val="Calibri"/>
        <family val="2"/>
        <charset val="238"/>
        <scheme val="minor"/>
      </rPr>
      <t xml:space="preserve"> s kosmatimi deskami ali opažnimi ploščami, višine 10 cm. Se lahko opusti in se postavka uporabi za nekoliko več betona - do roba izkopov</t>
    </r>
  </si>
  <si>
    <r>
      <rPr>
        <b/>
        <sz val="10"/>
        <rFont val="Calibri"/>
        <family val="2"/>
        <charset val="238"/>
        <scheme val="minor"/>
      </rPr>
      <t>horizontalni opaž ravnih plošč</t>
    </r>
    <r>
      <rPr>
        <sz val="10"/>
        <rFont val="Calibri"/>
        <family val="2"/>
        <charset val="238"/>
        <scheme val="minor"/>
      </rPr>
      <t xml:space="preserve">, s podpiranjem  višine do 1 m, </t>
    </r>
  </si>
  <si>
    <r>
      <t xml:space="preserve">ODRI: Dobava, montaža, demontaža in amortizacija potrebnih </t>
    </r>
    <r>
      <rPr>
        <b/>
        <sz val="10"/>
        <rFont val="Calibri"/>
        <family val="2"/>
        <charset val="238"/>
        <scheme val="minor"/>
      </rPr>
      <t xml:space="preserve">delovnih - fasadnih odrov za vse faze dela, za  ves čas gradnje. </t>
    </r>
    <r>
      <rPr>
        <sz val="10"/>
        <rFont val="Calibri"/>
        <family val="2"/>
        <charset val="238"/>
        <scheme val="minor"/>
      </rPr>
      <t>Način odranja je stvar organizacije izvajalca. Delovni odri morajo biti izvedeno skladno z načrtom VPD. V postavki je zajeto:</t>
    </r>
  </si>
  <si>
    <r>
      <t xml:space="preserve">ZAŠČITA PRED KOROZIJO
</t>
    </r>
    <r>
      <rPr>
        <sz val="10"/>
        <rFont val="Calibri"/>
        <family val="2"/>
        <charset val="238"/>
        <scheme val="minor"/>
      </rPr>
      <t xml:space="preserve">Pri načrtovanju in izvedbi protikorozijske zaščite z barvami je potrebno upoštevati določila skupine standardov SIST EN ISO 12944 (deli 1, 2, 3, 4, 5, 6, 7, 8) Barve in laki – Korozijska zaščita jeklenih konstrukcij z zaščitnimi premaznimi sistemi. Jeklene konstrukcije je potrebno zaščititi z barvami, ki zagotavljajo visoko trajnost  protikorozijske zaščite.
</t>
    </r>
  </si>
  <si>
    <r>
      <t xml:space="preserve">Kompletna dobava, izdelava in montaža </t>
    </r>
    <r>
      <rPr>
        <b/>
        <sz val="10"/>
        <rFont val="Calibri"/>
        <family val="2"/>
        <charset val="238"/>
        <scheme val="minor"/>
      </rPr>
      <t>jeklenih varjenih konstrukcij,</t>
    </r>
    <r>
      <rPr>
        <sz val="10"/>
        <rFont val="Calibri"/>
        <family val="2"/>
        <charset val="238"/>
        <scheme val="minor"/>
      </rPr>
      <t xml:space="preserve"> ustrezno korozijsko zaščitenih v delavnici ustrezno kategoriji okolja C3 po SIST EN ISO 12944-2 . Vsi zvari morajo biti I. kvalitete, kvaliteta jekla skladno z zahtevami statičnega računa.  Jeklo kvalitete S235 JR. Jeklene konstrukcije zaščitene s premazi.</t>
    </r>
  </si>
  <si>
    <r>
      <rPr>
        <b/>
        <sz val="10"/>
        <color theme="1"/>
        <rFont val="Calibri"/>
        <family val="2"/>
        <charset val="238"/>
        <scheme val="minor"/>
      </rPr>
      <t>Kronsko vrtanje lukenj</t>
    </r>
    <r>
      <rPr>
        <sz val="10"/>
        <color theme="1"/>
        <rFont val="Calibri"/>
        <family val="2"/>
        <charset val="238"/>
        <scheme val="minor"/>
      </rPr>
      <t xml:space="preserve"> v AB elemente in zidove - za instalacije, ocena </t>
    </r>
  </si>
  <si>
    <t>7.1</t>
  </si>
  <si>
    <t>7.2</t>
  </si>
  <si>
    <t>7.3</t>
  </si>
  <si>
    <t>7.4</t>
  </si>
  <si>
    <r>
      <rPr>
        <b/>
        <sz val="10"/>
        <color theme="1"/>
        <rFont val="Calibri"/>
        <family val="2"/>
        <charset val="238"/>
        <scheme val="minor"/>
      </rPr>
      <t>Priprava strojnice za montažerja opreme</t>
    </r>
    <r>
      <rPr>
        <sz val="10"/>
        <color theme="1"/>
        <rFont val="Calibri"/>
        <family val="2"/>
        <charset val="238"/>
        <scheme val="minor"/>
      </rPr>
      <t xml:space="preserve"> v obsegu minimalno kot spodaj oz. po dogovoru z dobaviteljem opreme: V strojnico se pripelje električni dovod 220V ali 380V z zaščito FID 30mA. V strojnici naročnik pripravi dva odtoka: za eventualno vodo, ki se polije v prostoru (lahko je samo minimalna drenaža ali jašek z potopno črpalko) in drugega, ki je povezan v kanalizacijo in služi za pranje filtra in praznjenje bazena. Izvajalec gradbenih del položi kanalizacijske cevi, ventilacijske cevi, hišni  vodoinstalater pa dovod vode , in elektroinstalater dovod elektroenergetskega kabla. porabljena voda in električna energija ob montaži bazenske tehnike so strošek gradbišča naročnika </t>
    </r>
  </si>
  <si>
    <r>
      <rPr>
        <b/>
        <sz val="10"/>
        <color theme="1"/>
        <rFont val="Calibri"/>
        <family val="2"/>
        <charset val="238"/>
        <scheme val="minor"/>
      </rPr>
      <t>prezračevanje strojnice.</t>
    </r>
    <r>
      <rPr>
        <sz val="10"/>
        <color theme="1"/>
        <rFont val="Calibri"/>
        <family val="2"/>
        <charset val="238"/>
        <scheme val="minor"/>
      </rPr>
      <t xml:space="preserve"> Cevi za zajem in odvod zraka diagonalno v prostoru se speljejo do zunanjega opornega zidu, kjer se namestita dve pokrovni prezračevalni rešetki, barvani po RAL, ki ga določi konservator ZVLDS, preferenčno antracit 7016. dobava in vgradanja vseh elementov z vsem pritrdilnim in tesnilnim materialom, vsemi eventualno potrebnimi dodatnimi deli ipd.</t>
    </r>
  </si>
  <si>
    <r>
      <rPr>
        <b/>
        <sz val="10"/>
        <color theme="1"/>
        <rFont val="Calibri"/>
        <family val="2"/>
        <charset val="238"/>
        <scheme val="minor"/>
      </rPr>
      <t>odvod v kanalizacijo</t>
    </r>
    <r>
      <rPr>
        <sz val="10"/>
        <color theme="1"/>
        <rFont val="Calibri"/>
        <family val="2"/>
        <charset val="238"/>
        <scheme val="minor"/>
      </rPr>
      <t xml:space="preserve"> – kanalizacijska cev fi 75mm, v strojnici zaključen z mufo, speljana direktno v jašek kanalizacije ali meteornih vod - se pripravi in slepo zaključi izven strojnice v zelenici, cca 3 m stran, ter v strojnici (pokrovi). dobava in vgradanja vseh elementov z vsem pritrdilnim in tesnilnim materialom, vsemi eventualno potrebnimi dodatnimi deli ipd.</t>
    </r>
  </si>
  <si>
    <r>
      <rPr>
        <b/>
        <sz val="10"/>
        <color theme="1"/>
        <rFont val="Calibri"/>
        <family val="2"/>
        <charset val="238"/>
        <scheme val="minor"/>
      </rPr>
      <t>talni sifon</t>
    </r>
    <r>
      <rPr>
        <sz val="10"/>
        <color theme="1"/>
        <rFont val="Calibri"/>
        <family val="2"/>
        <charset val="238"/>
        <scheme val="minor"/>
      </rPr>
      <t xml:space="preserve"> lahko speljan samo v drenažo, služi kot varnostni odtok okoli  ploščadi in v prostoru pod  in v strojnici, odpornejša izvedba pokrova sifona. dobava in vgradanja vseh elementov z vsem pritrdilnim in tesnilnim materialom, vsemi eventualno potrebnimi dodatnimi deli ipd.</t>
    </r>
  </si>
  <si>
    <r>
      <t>PP-00-y 3x1,5mm²</t>
    </r>
    <r>
      <rPr>
        <vertAlign val="superscript"/>
        <sz val="10"/>
        <color theme="1"/>
        <rFont val="Calibri"/>
        <family val="2"/>
        <charset val="238"/>
        <scheme val="minor"/>
      </rPr>
      <t xml:space="preserve"> </t>
    </r>
    <r>
      <rPr>
        <sz val="10"/>
        <color theme="1"/>
        <rFont val="Calibri"/>
        <family val="2"/>
        <charset val="238"/>
        <scheme val="minor"/>
      </rPr>
      <t>ali 5x1,5mm²</t>
    </r>
  </si>
  <si>
    <t>AVTOMATSKI DOTOK VODE – mehanski nivo 
regulator</t>
  </si>
  <si>
    <t>ventil f 50  LEP / LEP</t>
  </si>
  <si>
    <t>FILTRIRNA NAPRAVA ZA FIZIČNO ČIŠČENJE  VODE 
FONTANE</t>
  </si>
  <si>
    <t>SREDSTVA ZA VZDRŽEVANJE KVALITETNE  VODE  
za zagon – KLOR</t>
  </si>
  <si>
    <t xml:space="preserve">ELEKTROKOMANDNA OMARICA za avtomatsko 
delovanje </t>
  </si>
  <si>
    <r>
      <rPr>
        <b/>
        <sz val="10"/>
        <color theme="1"/>
        <rFont val="Calibri"/>
        <family val="2"/>
        <charset val="238"/>
        <scheme val="minor"/>
      </rPr>
      <t xml:space="preserve">deklorizator: </t>
    </r>
    <r>
      <rPr>
        <sz val="10"/>
        <color theme="1"/>
        <rFont val="Calibri"/>
        <family val="2"/>
        <charset val="238"/>
        <scheme val="minor"/>
      </rPr>
      <t>montira se na izpust, in ob praznjenju sproti deklorinira vodo do te mere, da je primerna za normalno uporabo v naravi.</t>
    </r>
  </si>
  <si>
    <r>
      <rPr>
        <b/>
        <sz val="10"/>
        <color theme="1"/>
        <rFont val="Calibri"/>
        <family val="2"/>
        <charset val="238"/>
        <scheme val="minor"/>
      </rPr>
      <t>modifikacija bližnje svetilke za potrebe nameščanja merilca jakosti vetra</t>
    </r>
    <r>
      <rPr>
        <sz val="10"/>
        <color theme="1"/>
        <rFont val="Calibri"/>
        <family val="2"/>
        <charset val="238"/>
        <scheme val="minor"/>
      </rPr>
      <t xml:space="preserve"> - obvezno nevidno speljati kabel po notranjosti kandelabra - predlog pripravi izvajalec - risba - potrjujejo arhitekt + nadzor + konservator</t>
    </r>
  </si>
  <si>
    <t>PRIBOR ZA VZDRŽEVANJE IN ČIŠČENJE ŠKOLJKE 
FONTANE ~ ročno</t>
  </si>
  <si>
    <t>Dobava in vgradanja komplet potrebnih elementov za izvedbo fontane, vključno z vsem pritrdilnim in tesnilnim materialom, vsemi povezavami in vsemi drugimi potrebnimi deli za funkcionalno vzpostavitev fontane. Vključno z navodili za vzdrževanje in šolanjem uporabnika. potencialni dobavitelj: Remax MB . Rezervni deli morajo biti dobavljivi še min. 10 let po montaži.</t>
  </si>
  <si>
    <r>
      <rPr>
        <b/>
        <sz val="10"/>
        <color theme="1"/>
        <rFont val="Calibri"/>
        <family val="2"/>
        <charset val="238"/>
        <scheme val="minor"/>
      </rPr>
      <t xml:space="preserve">dovodni elektroenergetski kabel </t>
    </r>
    <r>
      <rPr>
        <sz val="10"/>
        <color theme="1"/>
        <rFont val="Calibri"/>
        <family val="2"/>
        <charset val="238"/>
        <scheme val="minor"/>
      </rPr>
      <t>5×2,5mm2 pripeljan v strojnico, 380/220V varovano s 16A (v strojnici se pusti do 3m rezervne dolžine) - zajet v elektro popisu</t>
    </r>
  </si>
  <si>
    <t xml:space="preserve"> 14.4</t>
  </si>
  <si>
    <t xml:space="preserve"> 3.1</t>
  </si>
  <si>
    <t xml:space="preserve"> 3.2</t>
  </si>
  <si>
    <r>
      <rPr>
        <b/>
        <sz val="10"/>
        <rFont val="Calibri"/>
        <family val="2"/>
        <charset val="238"/>
        <scheme val="minor"/>
      </rPr>
      <t>opaž za nov AB zid - enostranski opaž - Dobava, opaženje, razopaženje, opiranje, prilagajanje terenu po potrebi, demontaža, prenos materiala, čiščenje</t>
    </r>
    <r>
      <rPr>
        <sz val="10"/>
        <rFont val="Calibri"/>
        <family val="2"/>
        <charset val="238"/>
        <scheme val="minor"/>
      </rPr>
      <t xml:space="preserve"> - komplet vsi pritrdilni in tesnilni elementi. - iste zahteve za opaž kot pri tesarskih delih.</t>
    </r>
  </si>
  <si>
    <t xml:space="preserve">F - RAZNO: Razna nepredvidena dela, katera je potrebno izvesti za dokončanje del, določena v teku izvajanja del. Ocena 10% od vrednosti predvidenih del. Se dokazuje z vpisom v gradbeni dnevnik in potrditvijo nadzora. </t>
  </si>
  <si>
    <t>za zračenje strojnice fi cca 20 cm skozi AB in zidan zid, skupna dolžina cca 90-100 cm</t>
  </si>
  <si>
    <t xml:space="preserve"> 4.1</t>
  </si>
  <si>
    <t xml:space="preserve"> 4.2</t>
  </si>
  <si>
    <t>druge krajše izvrtine</t>
  </si>
  <si>
    <r>
      <rPr>
        <b/>
        <sz val="10"/>
        <rFont val="Calibri"/>
        <family val="2"/>
        <charset val="238"/>
        <scheme val="minor"/>
      </rPr>
      <t xml:space="preserve">odstranitev zidu v celoti </t>
    </r>
    <r>
      <rPr>
        <sz val="10"/>
        <rFont val="Calibri"/>
        <family val="2"/>
        <charset val="238"/>
        <scheme val="minor"/>
      </rPr>
      <t>- zid na tistem delu ni več potreben, izkop podzemnih delov glede na potrebe (drenaža, priključki) - najmanj pod koto 50 cm pod finalni tlak oz. po dogovoru s konservatorjem na terenu.</t>
    </r>
  </si>
  <si>
    <r>
      <rPr>
        <b/>
        <sz val="10"/>
        <rFont val="Calibri"/>
        <family val="2"/>
        <charset val="238"/>
        <scheme val="minor"/>
      </rPr>
      <t>odstranitev manjše betonske klančinice</t>
    </r>
    <r>
      <rPr>
        <sz val="10"/>
        <rFont val="Calibri"/>
        <family val="2"/>
        <charset val="238"/>
        <scheme val="minor"/>
      </rPr>
      <t xml:space="preserve"> pred dostopom v mostovž cca 150 cm dolžin, 40 cm širine, 15 cm višine: razbitje, nalaganje na tovornjak, odvoz …</t>
    </r>
  </si>
  <si>
    <r>
      <rPr>
        <b/>
        <sz val="10"/>
        <color theme="1"/>
        <rFont val="Calibri"/>
        <family val="2"/>
        <charset val="238"/>
        <scheme val="minor"/>
      </rPr>
      <t>dvig AB instalacijskega jaška pred lipo na višino novega tlaka.</t>
    </r>
    <r>
      <rPr>
        <sz val="10"/>
        <color theme="1"/>
        <rFont val="Calibri"/>
        <family val="2"/>
        <charset val="238"/>
        <scheme val="minor"/>
      </rPr>
      <t xml:space="preserve"> Komplet izvedba del vljučno z mdr.: 
- demontaža obstoječega LTŽ pokrova, nakladanje na tovornjak in odvoz na deponijo gradbenih odpadkov, vključno s plačilom potrebnih stroškov - ali drugačen režim po dogovoru z investitorjem, 
- odstranitev kovisnkega okvirja za pokrov, enak režim kot s pokrovom
- odkop jaška, kolikor je potrebno za korektno opaženje, odmet, nalaganje na tovornjak, odvoz, plačilo - globina do cca 15 cm
- čiščenje vrhnje betonske površine jaška z visokotlačnim čistilnikom
- uvrtanje luken za ulepljenje armature + razprašitev
- dobava in ulepljenje armaturnih palic
- opaž: dobava, fiksiranje, opiranje, razpiranje, demontaža
- beton + armatura: dobava in vgradnja z izvedbo skice armature, ki jo potrdi statik
- dobava in vgradnja pokrova je zajeta v ločeni točki popisa</t>
    </r>
  </si>
  <si>
    <t xml:space="preserve"> 2.1</t>
  </si>
  <si>
    <t xml:space="preserve"> 2.2</t>
  </si>
  <si>
    <r>
      <rPr>
        <b/>
        <sz val="10"/>
        <rFont val="Calibri"/>
        <family val="2"/>
        <charset val="238"/>
        <scheme val="minor"/>
      </rPr>
      <t>za strojnico fontane</t>
    </r>
    <r>
      <rPr>
        <sz val="10"/>
        <rFont val="Calibri"/>
        <family val="2"/>
        <charset val="238"/>
        <scheme val="minor"/>
      </rPr>
      <t>, dim. 100/100 cm</t>
    </r>
  </si>
  <si>
    <t>pred izvedbo površin je potrebno izvesti temelje za urbano opremo!</t>
  </si>
  <si>
    <r>
      <rPr>
        <b/>
        <sz val="10"/>
        <rFont val="Calibri"/>
        <family val="2"/>
        <charset val="238"/>
        <scheme val="minor"/>
      </rPr>
      <t>INOX pohodni pokrov strojnice in jaška</t>
    </r>
    <r>
      <rPr>
        <sz val="10"/>
        <rFont val="Calibri"/>
        <family val="2"/>
        <charset val="238"/>
        <scheme val="minor"/>
      </rPr>
      <t>, s plinskimi vzmetmi,  dobava in vgradnja vključno z inox okvirjem, z vsem pritrdilnim in tesnilnim materialom. Pokrov mora imeti okvir cca 7 cm, v katerega se položi enak lak kot v okolici = MAK Vianova ali enakovredno - zajet v splošni kvadraturi tlaka. pokrov na zaklepanje, potencialni izvajalec Inox Vrbovšek, analogno kot pokrov jaška pri NLB na klančini ob Trgu svobode v Šoštanju.</t>
    </r>
  </si>
  <si>
    <r>
      <rPr>
        <b/>
        <sz val="10"/>
        <rFont val="Calibri"/>
        <family val="2"/>
        <charset val="238"/>
        <scheme val="minor"/>
      </rPr>
      <t>za obstoječi / dvignjeni  telekomunikacijski jašek</t>
    </r>
    <r>
      <rPr>
        <sz val="10"/>
        <rFont val="Calibri"/>
        <family val="2"/>
        <charset val="238"/>
        <scheme val="minor"/>
      </rPr>
      <t xml:space="preserve"> pred lipo dim. 70/70</t>
    </r>
  </si>
  <si>
    <r>
      <rPr>
        <b/>
        <sz val="10"/>
        <color theme="1"/>
        <rFont val="Calibri"/>
        <family val="2"/>
        <charset val="238"/>
        <scheme val="minor"/>
      </rPr>
      <t>fiksiranje slabo vezanih kamnov ter sanacija večjih kavern</t>
    </r>
    <r>
      <rPr>
        <sz val="10"/>
        <color theme="1"/>
        <rFont val="Calibri"/>
        <family val="2"/>
        <charset val="238"/>
        <scheme val="minor"/>
      </rPr>
      <t xml:space="preserve"> s kamnom, ki je deponiran od rušenja krone zidov. Z dobavo malte po speccifikaciji konservatorja, vgradnja, z vsemi deli.</t>
    </r>
  </si>
  <si>
    <r>
      <rPr>
        <b/>
        <sz val="10"/>
        <color theme="1"/>
        <rFont val="Calibri"/>
        <family val="2"/>
        <charset val="238"/>
        <scheme val="minor"/>
      </rPr>
      <t>zidanje / obzidovanje novih AB zidov s kamnom, da se doseže enak vtis fasade kot pri obstoječih opornih zidovih.</t>
    </r>
    <r>
      <rPr>
        <sz val="10"/>
        <color theme="1"/>
        <rFont val="Calibri"/>
        <family val="2"/>
        <charset val="238"/>
        <scheme val="minor"/>
      </rPr>
      <t xml:space="preserve"> Zidanje s kamnov, ki je deponiran po odstranitvi zidov, namenjenih odstranitvi. Zidanje v razvidnih plasteh, kamni morajo ležati z večjo ploskvijo proti tlom = ne smejo biti obrnjeni pokonci. izdela se cca 0,5 m2 velika testna ploskev za potrditev zidave s strani arhitekta in konservatorja. zidanje z betonsko malto - ne sme priti do mazanja kamnov. široko fugiranje v enakih zahtevah kot pri sanaciji obstoječega zidu glej postavko "oporni zid sanacija - 9.</t>
    </r>
  </si>
  <si>
    <t>krožni segment - dolžina 4,13 m</t>
  </si>
  <si>
    <t>ravni segment - dolžina 8,30 m</t>
  </si>
  <si>
    <t xml:space="preserve"> 10.1</t>
  </si>
  <si>
    <t xml:space="preserve"> 10.2</t>
  </si>
  <si>
    <t xml:space="preserve"> 10.3</t>
  </si>
  <si>
    <r>
      <rPr>
        <b/>
        <sz val="10"/>
        <rFont val="Calibri"/>
        <family val="2"/>
        <charset val="238"/>
        <scheme val="minor"/>
      </rPr>
      <t xml:space="preserve">RAVNO:
 </t>
    </r>
    <r>
      <rPr>
        <sz val="10"/>
        <rFont val="Calibri"/>
        <family val="2"/>
        <charset val="238"/>
        <scheme val="minor"/>
      </rPr>
      <t>stranice strojnice jaška, vključno z vsemi potrebnimi preboji za strojne instalacije</t>
    </r>
  </si>
  <si>
    <t>za nov segment opornega zidu - 8,3 m1</t>
  </si>
  <si>
    <r>
      <rPr>
        <b/>
        <sz val="10"/>
        <rFont val="Calibri"/>
        <family val="2"/>
        <charset val="238"/>
        <scheme val="minor"/>
      </rPr>
      <t>UKRIVLJENO, opaž za viden oz. brušen beton, skrbno stikovanje, prelepljeni stiki ...</t>
    </r>
    <r>
      <rPr>
        <sz val="10"/>
        <rFont val="Calibri"/>
        <family val="2"/>
        <charset val="238"/>
        <scheme val="minor"/>
      </rPr>
      <t>: 
za AB ploščo školjke fontane - pravilen krog. Na vrhu je potrebno vstaviti trikotno letev cca 25/25 mm, s katero se bo olajšalo izvedbo zaokrožitve na vrhu. Nove plošče, skrbno stikovanje - mizarska obdelava</t>
    </r>
  </si>
  <si>
    <t>za ukrivljen oporni zid</t>
  </si>
  <si>
    <r>
      <rPr>
        <b/>
        <sz val="10"/>
        <rFont val="Calibri"/>
        <family val="2"/>
        <charset val="238"/>
        <scheme val="minor"/>
      </rPr>
      <t>OPOMBA:</t>
    </r>
    <r>
      <rPr>
        <sz val="10"/>
        <rFont val="Calibri"/>
        <family val="2"/>
        <charset val="238"/>
        <scheme val="minor"/>
      </rPr>
      <t xml:space="preserve"> Pri oblikovanju cene za posamezna dela morajo biti vključeni vsi potrebni transporti in material za izvedbo opisanih elementov  ter horizontalni in vertikalni prenosi. </t>
    </r>
  </si>
  <si>
    <r>
      <t xml:space="preserve">klop </t>
    </r>
    <r>
      <rPr>
        <sz val="10"/>
        <rFont val="Calibri"/>
        <family val="2"/>
        <charset val="238"/>
        <scheme val="minor"/>
      </rPr>
      <t>kot http://www.ziegler-slo.si/klop-preva-urbana-s-hrbtnim-naslonom-in-naslonom-za-roke-62340270 ali enakovredno
tanko kovinsko ogrodje, antikorozijska zaščita, finalna barva RAL 7016 antracitno siva, sedalo in naslonjalo iz atmosfersko odpornega eksotičnega lesa kot bangirai ali enakovredno, dobava in vgradnja
vključno z betonskimi temelji  ali drugim antivandalskim sistemom sidranja, ki preprečuje premikanje klopi, in vijačenjem v temelj
temelja se ne sme videti, dolžina cca 180 cm, skupna globina cca 78 cm. tip klopi, lesa, barvo potrjujeta arhitekt in konservator</t>
    </r>
  </si>
  <si>
    <r>
      <t xml:space="preserve">koš </t>
    </r>
    <r>
      <rPr>
        <sz val="10"/>
        <rFont val="Calibri"/>
        <family val="2"/>
        <charset val="238"/>
        <scheme val="minor"/>
      </rPr>
      <t>kot http://www.ziegler-slo.si/ko%C5%A1-za-odpadke-corolla-iz-jekla ali enakovredno, kovinski profili 10 mm, jekleni obroč, notranja posoda, držalo za vreče – zavarovano z verigo, antikorozijska zaščita, finalna barva RAL 7016 antracitno siva, vključno z betonskimi temelji  in vijačenjem v temelj, temelja se ne sme videti, višina 82 cm, premer 36 cm. VKljučno z nastavkom, ki omogoča ločevanje smeti (papir, plastika, drugo), ter vrečkami. tip koša potrjujeta arhitekt in konservator</t>
    </r>
  </si>
  <si>
    <t>Fotografije referenčne opreme so v načrtih (arhitektura + drugi načrti). 
Vso opremo potruje pred naročilom projektant.</t>
  </si>
  <si>
    <t>ravni del ob parkirišču</t>
  </si>
  <si>
    <t>krožni del ob lipi</t>
  </si>
  <si>
    <t>novi zidovi za zgornji parter - ravni del</t>
  </si>
  <si>
    <t>novi zidovi za zgornji parter - rožni del pri lipi</t>
  </si>
  <si>
    <t>ojačitev - AB greda za ograjo zgornjega parterja</t>
  </si>
  <si>
    <t>fontana</t>
  </si>
  <si>
    <t>Izvajalec lahko predlaga svoj sistem zaščite, ki zagotavljajo enak ali podoben nivo protikorozijske zaščite in ustreza zgoraj navedenim standardom in zahtevam.
Nianso zaključnega premaza (RAL) določita arhitekt in konservator - RAL 7016 antracitno siva, debelina min. 80 μm.</t>
  </si>
  <si>
    <r>
      <t xml:space="preserve">Pri vseh izdelkih je potrebno zajeti izdelavo, dobavo in montažo ter eventualno vzidavo, vse potrebno okovje in tesnila. Vse mere, količini in obdelave kontrolirati po zadnjih veljavnih načrtih, detajlih, shemah PZI in BBS, ki so sestavni del tega popisa oz. na gradbišču!    Vsi ključavničarski izdelki (razen vročecinkanih) morajo biti dobavljeni opleskani 2x s temeljno barvo, primerno za finalni poliuretanski oplesk, s predhodnim peskanjem,  v skupni debelini 120 in več mikronov. Vse  jeklene varjene konstrukcije so ustrezno korozijsko zaščitene v delavnici ustrezno kategoriji okolja C3 po SIST EN ISO 12944-2. Obračun po teži iz delavniške dokumentacije! 
</t>
    </r>
    <r>
      <rPr>
        <b/>
        <sz val="10"/>
        <rFont val="Calibri"/>
        <family val="2"/>
        <charset val="238"/>
        <scheme val="minor"/>
      </rPr>
      <t>Komplet delavniško dokumentacijo za vse jeklene elemente z vsemi eventualno dodatno potrebnimi izračuni pripravi izvajalec jeklene konstrukcije, ki jo dostavi v pregled odgovornemu projektantu gradbenih konstrukcij in naročniku pred naročilom materiala!</t>
    </r>
  </si>
  <si>
    <t>agregat po pr EN 12620:2000 z zadostno odpornostjo proti zmrzovanju / taljenju - preglednica F-1</t>
  </si>
  <si>
    <t>C 25/30</t>
  </si>
  <si>
    <r>
      <rPr>
        <b/>
        <sz val="10"/>
        <rFont val="Calibri"/>
        <family val="2"/>
        <charset val="238"/>
        <scheme val="minor"/>
      </rPr>
      <t>jeklena ograja</t>
    </r>
    <r>
      <rPr>
        <sz val="10"/>
        <rFont val="Calibri"/>
        <family val="2"/>
        <charset val="238"/>
        <scheme val="minor"/>
      </rPr>
      <t xml:space="preserve"> vključno z vsemi pritrdilnimi sredstvi - po detajlu. Ograjo sestavljajo sidrni profili in vidni del ograje. Sidrni profili (za stabilizacijo: L forma IPE 100 v frekvenci na 50 cm, razvita dolžina kosa cca 150 cm z luknjami za fiksiranje v beton - po skici statika + notranji ploščati profil 15/180 mm, navarjena na stabilizacijske profile, z luknjami za zvare) se znivelirajo in vgradijo pred betoniranjem AB grede ob vrhu opornega zidu. Na profile se privari ograja. Ograja je sestavljena iz jeklenih vertikal  30/30/3 mm na maksimalnem razstoju 12 cm, navarjenih na ploščati profil 15/200 mm pri tleh, ročaj ploščati profil 70/10 mm, obojestransko 15 cm pod vrhom še horizontalni ploščati profil 30/3 mm, vroče cinkan, pritrjen tako, da se obojestransko prikoviči v vertikalni profil (predvrtanje v vertikalo cca fi 7,4, izvrtina v horizontalni trak fi 9 mm) - alternativa: kovaška kovica preko celega sendviča ali po predlogu izvajalca, ki ga potrdi ZVKDS. ograja se spodaj vari na sidrne ploščice, vgrajene ob betoniranju. komplet dobava in vgradnja z vsem pritrdilnim in tesnilnim materialom, opiranjem, niveliranjem, podlaganjem, predhodnimi in vmesnimi izmerami na objektu, eventualno potrebnimi prilagoditvami ... antikorozijska zaščita = vroče cinkanje + finalno barvano RAL 7016 antracit siva mat min. 80 my, v delavnici + na objektu - barva mora biti ustrezna za svežo cinano površino, da se ne bo luščila. vrhnji profil ročaja mora iti v ravni črti kontinuirano. vrhni del ograje dilatiran na cca 2,5 m za 2 mm, izvajalec določi enakomerne segmente. višina ograje min. 110 cm nad finalni tlak. Obvezna izvedba min. 50 cm dolgega vzorčnega segmenta ograje 1:1, ki ga potrdi pristojni konservator ZVKDS (profile, izgled zvarov, izgled kovičenja, barva).
VKLJUČNO: tesnjenje stika med betonom in jeklenim profilom ograje z nalepljenim hidroizolacijskim trakom, da se prepreči zatekanje meteorne vode med ograjo in fronto zidu - ne sme priti do mazanja vidnih delov ograje. dobava in vgradnja z eventualno zaščito</t>
    </r>
  </si>
  <si>
    <t>uskladitev količin armature maj 2019</t>
  </si>
  <si>
    <t xml:space="preserve">Projektantski nadzor in izdelava PID projekta: zagotavlja investitor. </t>
  </si>
  <si>
    <t>Izvajanje del: Premaz se lahko izvaja ročno ali strojno. Na končni površini se ne smejo poznati sledovi čopiča ali valjčka in mora popolnoma prekrivati podlago. Premaz , ki se izvaja v več slojih je naslednji sloj izvesti, ko je predhodni popolnoma suh. Stiki z ostalimi gradbenimi materiali (sprotno abdekanje in odstranitev abdek traku po izvedbi slikanja).</t>
  </si>
  <si>
    <r>
      <t xml:space="preserve">Izdelava načrta obratovanja in vzdrževanja - za zgornji parter in fontano, </t>
    </r>
    <r>
      <rPr>
        <sz val="10"/>
        <rFont val="Calibri"/>
        <family val="2"/>
        <charset val="238"/>
        <scheme val="minor"/>
      </rPr>
      <t>2</t>
    </r>
    <r>
      <rPr>
        <b/>
        <sz val="10"/>
        <rFont val="Calibri"/>
        <family val="2"/>
        <charset val="238"/>
        <scheme val="minor"/>
      </rPr>
      <t xml:space="preserve"> </t>
    </r>
    <r>
      <rPr>
        <sz val="10"/>
        <rFont val="Calibri"/>
        <family val="2"/>
        <charset val="238"/>
        <scheme val="minor"/>
      </rPr>
      <t xml:space="preserve">pisna izvoda + elektronska oblika - dokumentacija z ustreznim šolanjem uporabnika </t>
    </r>
  </si>
  <si>
    <t>Za bazene z naslednjimi napravami:
- Zaščita življenja
- Tlačna črpalka vodnih šob
- filtrska črpalka – 1F;
- Analiza in doziranje 
- Frekvenčna regulacija
- Kontrola vetra WIND CONTROL
- vtičnica
- rezerva  2 tokokroga</t>
  </si>
  <si>
    <t>povezave</t>
  </si>
  <si>
    <t>Dobava in vgrajevanje  mehansko stabiliziranega tamponskega sloja granulacije 0 - 60mm, debeline 30 cm, Ev2=100MPa</t>
  </si>
  <si>
    <r>
      <t xml:space="preserve">drenaža na nivoju spodnjega roba tamponskih nasutij,  </t>
    </r>
    <r>
      <rPr>
        <sz val="10"/>
        <color theme="1"/>
        <rFont val="Calibri"/>
        <family val="2"/>
        <charset val="238"/>
        <scheme val="minor"/>
      </rPr>
      <t xml:space="preserve">drenažne cevi DN100, detajl D14, komplet: dobava in vgradnja z izvedbo izkopov, betonskih posteljic v potrebnih naklonih, jaškov s pokrovi, dobavo in zavijanjem v politlak folijo ter navezavo na ponikovalnico, vljučno z izvedbo ponikovalnice iz AB cevi po detjalu D15, z dobavo in izvedbo nasutja … z vsemi tesnilnimi in spojnimi elementi. </t>
    </r>
  </si>
  <si>
    <r>
      <rPr>
        <b/>
        <sz val="10"/>
        <rFont val="Calibri"/>
        <family val="2"/>
        <charset val="238"/>
        <scheme val="minor"/>
      </rPr>
      <t>nosilna konstrukcija za tipno tablo</t>
    </r>
    <r>
      <rPr>
        <sz val="10"/>
        <rFont val="Calibri"/>
        <family val="2"/>
        <charset val="238"/>
        <scheme val="minor"/>
      </rPr>
      <t xml:space="preserve"> - širina 60 cm, debelina 1 cm, ukrivljeno 2x po skici, razvita dolžina 60 + 87 + 60 cm = 207 cm, z izrtinami za sidra - po skici v načrtu gradbenih konstrukcij. Dobava in vgradnja z vsem pritrdilnim (sidra) in tesnilnim materialom, z nivelacijo, podlaganjem ... antikorozijska zaščita = vroče cinkano + barvano po RAL 7016 antracit siva min. 80 my, barva primerna za sveže cinkano površino, da ne pride do luščenja / odstopanja. tablo vgraditi pred izvedbo utrjene peščene površine. vključno z zaščito ob izvedbi tlaka v okolici. Vključno s fiksiranjem vsebinskega dela tipne table na konstrukcijo (vsebinski del ločena dobavi investitor), zajeti lepljenje po celotni zgornji površini z ustreznim gradbenim lepilom za eksterier ali enakovredno po potrditvi nadzora.</t>
    </r>
  </si>
  <si>
    <t>izvleček za 1. fazo: junij 2019</t>
  </si>
  <si>
    <t>Zahodni oporni zid z zunanjo ureditvijo na Gradu Velenje</t>
  </si>
  <si>
    <t>osnovni popis januar 2019 - za celoten park (vse faze)</t>
  </si>
  <si>
    <t>C - KANALIZACIJA in ZUNANJA UREDITEV - zajeta v arhitekturi</t>
  </si>
  <si>
    <t>vnesti ročno iz popisa strojnih del</t>
  </si>
  <si>
    <t>vnesti ročno iz popisa elektro del</t>
  </si>
  <si>
    <r>
      <rPr>
        <b/>
        <sz val="10"/>
        <color theme="1"/>
        <rFont val="Calibri"/>
        <family val="2"/>
        <charset val="238"/>
        <scheme val="minor"/>
      </rPr>
      <t>gradbišča  tabla z nosilno jekleno podkonstrukcijo, osvetlitvijo in oznakami ter obveznim grafičnim poljem s programom sofinanciranja investicije (25% table za program Interreg Srednja Evropa)</t>
    </r>
    <r>
      <rPr>
        <sz val="10"/>
        <color theme="1"/>
        <rFont val="Calibri"/>
        <family val="2"/>
        <charset val="238"/>
        <scheme val="minor"/>
      </rPr>
      <t xml:space="preserve">, dobava in montaža z vso potrebno jekleno podkonstrukcijo.  Po prevzemu in končanju del na gradbišču se tabla skupaj z vsemi elementi demontira in odnese na odpad v kolikor ni več potrebna. prosto stoječa gradbena tabla, montirana na prostostoječo konstrukcijo, ki sestoji iz konstrukcije iz jeklenih stebrov, prečk in opaža, do višine 3 m nad terenom.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</si>
</sst>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 #,##0.00\ &quot;€&quot;_-;\-* #,##0.00\ &quot;€&quot;_-;_-* &quot;-&quot;??\ &quot;€&quot;_-;_-@_-"/>
    <numFmt numFmtId="43" formatCode="_-* #,##0.00_-;\-* #,##0.00_-;_-* &quot;-&quot;??_-;_-@_-"/>
    <numFmt numFmtId="164" formatCode="_-* #,##0.00\ _€_-;\-* #,##0.00\ _€_-;_-* &quot;-&quot;??\ _€_-;_-@_-"/>
    <numFmt numFmtId="165" formatCode="#,##0.00&quot; SIT &quot;;\-#,##0.00&quot; SIT &quot;;&quot; -&quot;#&quot; SIT &quot;;@\ "/>
    <numFmt numFmtId="166" formatCode="\$#,##0.00\ ;[Red]&quot;($&quot;#,##0.00\)"/>
    <numFmt numFmtId="167" formatCode="&quot;SIT&quot;#,##0\ ;&quot;(SIT&quot;#,##0\)"/>
    <numFmt numFmtId="168" formatCode="mmmm\ d&quot;, &quot;yyyy"/>
    <numFmt numFmtId="169" formatCode="_(&quot;$&quot;* #,##0_);_(&quot;$&quot;* \(#,##0\);_(&quot;$&quot;* &quot;-&quot;_);_(@_)"/>
    <numFmt numFmtId="170" formatCode="_(&quot;$&quot;* #,##0.00_);_(&quot;$&quot;* \(#,##0.00\);_(&quot;$&quot;* &quot;-&quot;??_);_(@_)"/>
    <numFmt numFmtId="171" formatCode="&quot;$&quot;#,##0.00_);[Red]\(&quot;$&quot;#,##0.00\)"/>
    <numFmt numFmtId="172" formatCode="#,##0.00&quot;       &quot;;\-#,##0.00&quot;       &quot;;&quot; -&quot;#&quot;       &quot;;@\ "/>
    <numFmt numFmtId="173" formatCode="_-* #,##0.00\ _S_I_T_-;\-* #,##0.00\ _S_I_T_-;_-* &quot;-&quot;??\ _S_I_T_-;_-@_-"/>
    <numFmt numFmtId="174" formatCode="#,##0.00\ [$€-1]"/>
    <numFmt numFmtId="175" formatCode="#,##0.00\ &quot;€&quot;"/>
    <numFmt numFmtId="176" formatCode="_-* #,##0.00\ &quot;SIT&quot;_-;\-* #,##0.00\ &quot;SIT&quot;_-;_-* &quot;-&quot;??\ &quot;SIT&quot;_-;_-@_-"/>
    <numFmt numFmtId="177" formatCode="#,##0.000"/>
    <numFmt numFmtId="178" formatCode="_(* #,##0.00_);_(* \(#,##0.00\);_(* &quot;-&quot;??_);_(@_)"/>
    <numFmt numFmtId="179" formatCode="_([$€]* #,##0.00_);_([$€]* \(#,##0.00\);_([$€]* &quot;-&quot;??_);_(@_)"/>
    <numFmt numFmtId="180" formatCode="_-* #,##0.00\ _E_U_R_-;\-* #,##0.00\ _E_U_R_-;_-* &quot;-&quot;??\ _E_U_R_-;_-@_-"/>
    <numFmt numFmtId="181" formatCode="_-* #,##0\ _S_I_T_-;\-* #,##0\ _S_I_T_-;_-* &quot;-&quot;??\ _S_I_T_-;_-@_-"/>
    <numFmt numFmtId="182" formatCode="0.0"/>
    <numFmt numFmtId="183" formatCode="#,##0.0"/>
  </numFmts>
  <fonts count="104">
    <font>
      <sz val="10"/>
      <name val="Arial CE"/>
      <charset val="238"/>
    </font>
    <font>
      <sz val="11"/>
      <color theme="1"/>
      <name val="Calibri"/>
      <family val="2"/>
      <charset val="238"/>
      <scheme val="minor"/>
    </font>
    <font>
      <sz val="11"/>
      <color indexed="8"/>
      <name val="Calibri"/>
      <family val="2"/>
      <charset val="238"/>
    </font>
    <font>
      <sz val="11"/>
      <color indexed="8"/>
      <name val="Calibri"/>
      <family val="2"/>
      <charset val="238"/>
    </font>
    <font>
      <sz val="11"/>
      <color indexed="8"/>
      <name val="Calibri"/>
      <family val="2"/>
      <charset val="238"/>
    </font>
    <font>
      <sz val="11"/>
      <color indexed="8"/>
      <name val="Calibri"/>
      <family val="2"/>
      <charset val="238"/>
    </font>
    <font>
      <sz val="10"/>
      <name val="Arial CE"/>
      <charset val="238"/>
    </font>
    <font>
      <b/>
      <sz val="10"/>
      <name val="Arial CE"/>
      <family val="2"/>
      <charset val="238"/>
    </font>
    <font>
      <b/>
      <sz val="10"/>
      <name val="Arial CE"/>
      <charset val="238"/>
    </font>
    <font>
      <sz val="10"/>
      <name val="Calibri"/>
      <family val="2"/>
      <charset val="238"/>
    </font>
    <font>
      <sz val="10"/>
      <name val="Arial CE"/>
      <family val="2"/>
      <charset val="238"/>
    </font>
    <font>
      <i/>
      <sz val="10"/>
      <name val="Arial CE"/>
      <charset val="238"/>
    </font>
    <font>
      <b/>
      <sz val="10"/>
      <name val="DINCE-Regular"/>
      <charset val="238"/>
    </font>
    <font>
      <sz val="10"/>
      <name val="DINCE-Regular"/>
      <charset val="238"/>
    </font>
    <font>
      <sz val="10"/>
      <color indexed="10"/>
      <name val="DINCE-Regular"/>
      <charset val="238"/>
    </font>
    <font>
      <sz val="10"/>
      <name val="SL Dutch"/>
      <charset val="238"/>
    </font>
    <font>
      <b/>
      <sz val="11"/>
      <name val="DINCE-Regular"/>
      <charset val="238"/>
    </font>
    <font>
      <b/>
      <sz val="12"/>
      <name val="DINCE-Regular"/>
      <charset val="238"/>
    </font>
    <font>
      <sz val="12"/>
      <name val="DINCE-Regular"/>
      <charset val="238"/>
    </font>
    <font>
      <sz val="11"/>
      <name val="Verdana"/>
      <family val="2"/>
      <charset val="238"/>
    </font>
    <font>
      <sz val="10"/>
      <name val="Arial"/>
      <family val="2"/>
      <charset val="238"/>
    </font>
    <font>
      <sz val="10"/>
      <name val="Arial"/>
      <family val="2"/>
      <charset val="238"/>
    </font>
    <font>
      <sz val="9"/>
      <name val="Futura Prins"/>
      <charset val="238"/>
    </font>
    <font>
      <sz val="9"/>
      <name val="Futura Prins"/>
      <charset val="238"/>
    </font>
    <font>
      <u/>
      <sz val="10"/>
      <color indexed="12"/>
      <name val="MS Sans Serif"/>
      <family val="2"/>
      <charset val="238"/>
    </font>
    <font>
      <u/>
      <sz val="10"/>
      <color indexed="12"/>
      <name val="MS Sans Serif"/>
      <family val="2"/>
      <charset val="238"/>
    </font>
    <font>
      <b/>
      <sz val="18"/>
      <color indexed="56"/>
      <name val="Cambria"/>
      <family val="2"/>
      <charset val="238"/>
    </font>
    <font>
      <sz val="11"/>
      <color indexed="8"/>
      <name val="Calibri"/>
      <family val="2"/>
      <charset val="238"/>
    </font>
    <font>
      <sz val="10"/>
      <name val="MS Sans Serif"/>
      <family val="2"/>
      <charset val="238"/>
    </font>
    <font>
      <sz val="10"/>
      <name val="Times New Roman CE"/>
      <family val="1"/>
      <charset val="238"/>
    </font>
    <font>
      <sz val="11"/>
      <color indexed="60"/>
      <name val="Calibri"/>
      <family val="2"/>
      <charset val="238"/>
    </font>
    <font>
      <sz val="10"/>
      <name val="MS Sans Serif"/>
      <family val="2"/>
      <charset val="238"/>
    </font>
    <font>
      <sz val="12"/>
      <name val="Arial CE"/>
      <family val="2"/>
      <charset val="238"/>
    </font>
    <font>
      <sz val="5"/>
      <name val="Courier New CE"/>
      <family val="3"/>
      <charset val="238"/>
    </font>
    <font>
      <sz val="11"/>
      <name val="Futura Prins"/>
      <charset val="238"/>
    </font>
    <font>
      <sz val="11"/>
      <color indexed="8"/>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7"/>
      <name val="Calibri"/>
      <family val="2"/>
      <charset val="238"/>
    </font>
    <font>
      <sz val="11"/>
      <color indexed="20"/>
      <name val="Calibri"/>
      <family val="2"/>
      <charset val="238"/>
    </font>
    <font>
      <sz val="11"/>
      <color indexed="62"/>
      <name val="Calibri"/>
      <family val="2"/>
      <charset val="238"/>
    </font>
    <font>
      <b/>
      <sz val="11"/>
      <color indexed="63"/>
      <name val="Calibri"/>
      <family val="2"/>
      <charset val="238"/>
    </font>
    <font>
      <b/>
      <sz val="11"/>
      <color indexed="52"/>
      <name val="Calibri"/>
      <family val="2"/>
      <charset val="238"/>
    </font>
    <font>
      <sz val="11"/>
      <color indexed="52"/>
      <name val="Calibri"/>
      <family val="2"/>
      <charset val="238"/>
    </font>
    <font>
      <b/>
      <sz val="11"/>
      <color indexed="9"/>
      <name val="Calibri"/>
      <family val="2"/>
      <charset val="238"/>
    </font>
    <font>
      <sz val="11"/>
      <color indexed="10"/>
      <name val="Calibri"/>
      <family val="2"/>
      <charset val="238"/>
    </font>
    <font>
      <i/>
      <sz val="11"/>
      <color indexed="23"/>
      <name val="Calibri"/>
      <family val="2"/>
      <charset val="238"/>
    </font>
    <font>
      <b/>
      <sz val="11"/>
      <color indexed="8"/>
      <name val="Calibri"/>
      <family val="2"/>
      <charset val="238"/>
    </font>
    <font>
      <sz val="11"/>
      <color indexed="9"/>
      <name val="Calibri"/>
      <family val="2"/>
      <charset val="238"/>
    </font>
    <font>
      <sz val="10"/>
      <name val="Arial"/>
      <family val="2"/>
    </font>
    <font>
      <u/>
      <sz val="10"/>
      <name val="Arial"/>
      <family val="2"/>
      <charset val="238"/>
    </font>
    <font>
      <sz val="8"/>
      <name val="Arial CE"/>
      <charset val="238"/>
    </font>
    <font>
      <sz val="11"/>
      <name val="AvantGarde Bk BT"/>
      <family val="2"/>
    </font>
    <font>
      <sz val="11"/>
      <name val="Arial Narrow"/>
      <family val="2"/>
    </font>
    <font>
      <b/>
      <sz val="10"/>
      <name val="Arial Narrow"/>
      <family val="2"/>
      <charset val="238"/>
    </font>
    <font>
      <b/>
      <sz val="10"/>
      <name val="Arial Narrow"/>
      <family val="2"/>
    </font>
    <font>
      <sz val="10"/>
      <name val="Arial Narrow"/>
      <family val="2"/>
    </font>
    <font>
      <sz val="10"/>
      <name val="Arial Narrow"/>
      <family val="2"/>
      <charset val="238"/>
    </font>
    <font>
      <sz val="10"/>
      <color indexed="17"/>
      <name val="DINCE-Regular"/>
      <charset val="238"/>
    </font>
    <font>
      <sz val="11"/>
      <name val="Arial Narrow CE"/>
      <charset val="238"/>
    </font>
    <font>
      <sz val="11"/>
      <color indexed="8"/>
      <name val="Arial"/>
      <family val="2"/>
    </font>
    <font>
      <sz val="11"/>
      <color indexed="8"/>
      <name val="Calibri"/>
      <family val="2"/>
    </font>
    <font>
      <sz val="10"/>
      <name val="Arial CE"/>
      <family val="2"/>
    </font>
    <font>
      <sz val="10"/>
      <name val="Helv"/>
      <charset val="204"/>
    </font>
    <font>
      <sz val="11"/>
      <color theme="1"/>
      <name val="Calibri"/>
      <family val="2"/>
      <charset val="238"/>
      <scheme val="minor"/>
    </font>
    <font>
      <sz val="10"/>
      <name val="SL Dutch"/>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2"/>
      <name val="Arial CE"/>
      <charset val="238"/>
    </font>
    <font>
      <sz val="11"/>
      <color indexed="19"/>
      <name val="Calibri"/>
      <family val="2"/>
      <charset val="238"/>
    </font>
    <font>
      <b/>
      <sz val="11"/>
      <color indexed="10"/>
      <name val="Calibri"/>
      <family val="2"/>
      <charset val="238"/>
    </font>
    <font>
      <sz val="10"/>
      <color theme="1"/>
      <name val="Arial CE"/>
      <charset val="238"/>
    </font>
    <font>
      <sz val="10"/>
      <name val="Arial CE"/>
    </font>
    <font>
      <sz val="11"/>
      <name val="Times New Roman CE"/>
      <charset val="238"/>
    </font>
    <font>
      <b/>
      <sz val="12"/>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b/>
      <sz val="10"/>
      <color theme="0"/>
      <name val="Calibri"/>
      <family val="2"/>
      <charset val="238"/>
      <scheme val="minor"/>
    </font>
    <font>
      <sz val="10"/>
      <color theme="1"/>
      <name val="Calibri"/>
      <family val="2"/>
      <charset val="238"/>
      <scheme val="minor"/>
    </font>
    <font>
      <b/>
      <sz val="10"/>
      <color theme="1"/>
      <name val="Calibri"/>
      <family val="2"/>
      <charset val="238"/>
      <scheme val="minor"/>
    </font>
    <font>
      <sz val="9"/>
      <name val="Calibri"/>
      <family val="2"/>
      <charset val="238"/>
      <scheme val="minor"/>
    </font>
    <font>
      <b/>
      <i/>
      <sz val="10"/>
      <name val="Calibri"/>
      <family val="2"/>
      <charset val="238"/>
      <scheme val="minor"/>
    </font>
    <font>
      <sz val="10"/>
      <color rgb="FFFF0000"/>
      <name val="Calibri"/>
      <family val="2"/>
      <charset val="238"/>
      <scheme val="minor"/>
    </font>
    <font>
      <b/>
      <sz val="10"/>
      <color indexed="8"/>
      <name val="Calibri"/>
      <family val="2"/>
      <charset val="238"/>
      <scheme val="minor"/>
    </font>
    <font>
      <sz val="10"/>
      <color indexed="8"/>
      <name val="Calibri"/>
      <family val="2"/>
      <charset val="238"/>
      <scheme val="minor"/>
    </font>
    <font>
      <sz val="10"/>
      <color theme="0" tint="-0.499984740745262"/>
      <name val="Calibri"/>
      <family val="2"/>
      <charset val="238"/>
      <scheme val="minor"/>
    </font>
    <font>
      <i/>
      <sz val="10"/>
      <color theme="0" tint="-0.499984740745262"/>
      <name val="Calibri"/>
      <family val="2"/>
      <charset val="238"/>
      <scheme val="minor"/>
    </font>
    <font>
      <b/>
      <sz val="14"/>
      <name val="Calibri"/>
      <family val="2"/>
      <charset val="238"/>
      <scheme val="minor"/>
    </font>
    <font>
      <sz val="10"/>
      <color theme="0"/>
      <name val="Calibri"/>
      <family val="2"/>
      <charset val="238"/>
      <scheme val="minor"/>
    </font>
    <font>
      <sz val="10"/>
      <color indexed="17"/>
      <name val="Calibri"/>
      <family val="2"/>
      <charset val="238"/>
      <scheme val="minor"/>
    </font>
    <font>
      <sz val="10"/>
      <color indexed="10"/>
      <name val="Calibri"/>
      <family val="2"/>
      <charset val="238"/>
      <scheme val="minor"/>
    </font>
    <font>
      <u/>
      <sz val="10"/>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i/>
      <sz val="10"/>
      <color theme="1"/>
      <name val="Calibri"/>
      <family val="2"/>
      <charset val="238"/>
      <scheme val="minor"/>
    </font>
    <font>
      <vertAlign val="superscript"/>
      <sz val="10"/>
      <color theme="1"/>
      <name val="Calibri"/>
      <family val="2"/>
      <charset val="238"/>
      <scheme val="minor"/>
    </font>
    <font>
      <b/>
      <i/>
      <sz val="10"/>
      <color theme="1"/>
      <name val="Calibri"/>
      <family val="2"/>
      <charset val="238"/>
      <scheme val="minor"/>
    </font>
    <font>
      <i/>
      <sz val="10"/>
      <color theme="0" tint="-0.34998626667073579"/>
      <name val="Calibri"/>
      <family val="2"/>
      <charset val="238"/>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55"/>
        <bgColor indexed="64"/>
      </patternFill>
    </fill>
    <fill>
      <patternFill patternType="solid">
        <fgColor indexed="47"/>
      </patternFill>
    </fill>
    <fill>
      <patternFill patternType="solid">
        <fgColor indexed="9"/>
      </patternFill>
    </fill>
    <fill>
      <patternFill patternType="solid">
        <fgColor indexed="56"/>
      </patternFill>
    </fill>
    <fill>
      <patternFill patternType="solid">
        <fgColor indexed="54"/>
      </patternFill>
    </fill>
    <fill>
      <patternFill patternType="solid">
        <fgColor theme="1"/>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56"/>
      </top>
      <bottom/>
      <diagonal/>
    </border>
    <border>
      <left/>
      <right/>
      <top style="thin">
        <color indexed="64"/>
      </top>
      <bottom style="double">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s>
  <cellStyleXfs count="369">
    <xf numFmtId="0" fontId="0" fillId="0" borderId="0"/>
    <xf numFmtId="0" fontId="5" fillId="2" borderId="0" applyNumberFormat="0" applyBorder="0" applyAlignment="0" applyProtection="0"/>
    <xf numFmtId="0" fontId="62" fillId="0" borderId="0"/>
    <xf numFmtId="0" fontId="2" fillId="2" borderId="0" applyNumberFormat="0" applyBorder="0" applyAlignment="0" applyProtection="0"/>
    <xf numFmtId="0" fontId="2" fillId="2" borderId="0" applyNumberFormat="0" applyBorder="0" applyAlignment="0" applyProtection="0"/>
    <xf numFmtId="0" fontId="5" fillId="3" borderId="0" applyNumberFormat="0" applyBorder="0" applyAlignment="0" applyProtection="0"/>
    <xf numFmtId="0" fontId="2" fillId="3" borderId="0" applyNumberFormat="0" applyBorder="0" applyAlignment="0" applyProtection="0"/>
    <xf numFmtId="0" fontId="5" fillId="4" borderId="0" applyNumberFormat="0" applyBorder="0" applyAlignment="0" applyProtection="0"/>
    <xf numFmtId="0" fontId="2" fillId="4" borderId="0" applyNumberFormat="0" applyBorder="0" applyAlignment="0" applyProtection="0"/>
    <xf numFmtId="0" fontId="5" fillId="5" borderId="0" applyNumberFormat="0" applyBorder="0" applyAlignment="0" applyProtection="0"/>
    <xf numFmtId="0" fontId="2" fillId="5" borderId="0" applyNumberFormat="0" applyBorder="0" applyAlignment="0" applyProtection="0"/>
    <xf numFmtId="0" fontId="5" fillId="6" borderId="0" applyNumberFormat="0" applyBorder="0" applyAlignment="0" applyProtection="0"/>
    <xf numFmtId="0" fontId="2" fillId="6" borderId="0" applyNumberFormat="0" applyBorder="0" applyAlignment="0" applyProtection="0"/>
    <xf numFmtId="0" fontId="5" fillId="7" borderId="0" applyNumberFormat="0" applyBorder="0" applyAlignment="0" applyProtection="0"/>
    <xf numFmtId="0" fontId="2" fillId="7" borderId="0" applyNumberFormat="0" applyBorder="0" applyAlignment="0" applyProtection="0"/>
    <xf numFmtId="0" fontId="5" fillId="8" borderId="0" applyNumberFormat="0" applyBorder="0" applyAlignment="0" applyProtection="0"/>
    <xf numFmtId="0" fontId="2" fillId="8" borderId="0" applyNumberFormat="0" applyBorder="0" applyAlignment="0" applyProtection="0"/>
    <xf numFmtId="0" fontId="5" fillId="9" borderId="0" applyNumberFormat="0" applyBorder="0" applyAlignment="0" applyProtection="0"/>
    <xf numFmtId="0" fontId="2" fillId="9" borderId="0" applyNumberFormat="0" applyBorder="0" applyAlignment="0" applyProtection="0"/>
    <xf numFmtId="0" fontId="5" fillId="10" borderId="0" applyNumberFormat="0" applyBorder="0" applyAlignment="0" applyProtection="0"/>
    <xf numFmtId="0" fontId="2" fillId="10" borderId="0" applyNumberFormat="0" applyBorder="0" applyAlignment="0" applyProtection="0"/>
    <xf numFmtId="0" fontId="5" fillId="5" borderId="0" applyNumberFormat="0" applyBorder="0" applyAlignment="0" applyProtection="0"/>
    <xf numFmtId="0" fontId="2" fillId="5" borderId="0" applyNumberFormat="0" applyBorder="0" applyAlignment="0" applyProtection="0"/>
    <xf numFmtId="0" fontId="5" fillId="8" borderId="0" applyNumberFormat="0" applyBorder="0" applyAlignment="0" applyProtection="0"/>
    <xf numFmtId="0" fontId="2" fillId="8" borderId="0" applyNumberFormat="0" applyBorder="0" applyAlignment="0" applyProtection="0"/>
    <xf numFmtId="0" fontId="5" fillId="11" borderId="0" applyNumberFormat="0" applyBorder="0" applyAlignment="0" applyProtection="0"/>
    <xf numFmtId="0" fontId="2" fillId="11" borderId="0" applyNumberFormat="0" applyBorder="0" applyAlignment="0" applyProtection="0"/>
    <xf numFmtId="0" fontId="50" fillId="12"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9" borderId="0" applyNumberFormat="0" applyBorder="0" applyAlignment="0" applyProtection="0"/>
    <xf numFmtId="0" fontId="41" fillId="3" borderId="0" applyNumberFormat="0" applyBorder="0" applyAlignment="0" applyProtection="0"/>
    <xf numFmtId="0" fontId="44" fillId="7" borderId="1" applyNumberFormat="0" applyAlignment="0" applyProtection="0"/>
    <xf numFmtId="0" fontId="46" fillId="20" borderId="2" applyNumberFormat="0" applyAlignment="0" applyProtection="0"/>
    <xf numFmtId="40" fontId="10" fillId="0" borderId="0" applyFill="0" applyBorder="0" applyAlignment="0" applyProtection="0"/>
    <xf numFmtId="40" fontId="10" fillId="0" borderId="0" applyFill="0" applyBorder="0" applyAlignment="0" applyProtection="0"/>
    <xf numFmtId="173" fontId="61" fillId="0" borderId="0" applyFont="0" applyFill="0" applyBorder="0" applyAlignment="0" applyProtection="0"/>
    <xf numFmtId="37" fontId="21" fillId="0" borderId="0" applyFill="0" applyBorder="0" applyAlignment="0" applyProtection="0"/>
    <xf numFmtId="37" fontId="20" fillId="0" borderId="0" applyFill="0" applyBorder="0" applyAlignment="0" applyProtection="0"/>
    <xf numFmtId="0" fontId="10" fillId="0" borderId="0" applyFill="0" applyBorder="0" applyAlignment="0" applyProtection="0"/>
    <xf numFmtId="0" fontId="10" fillId="0" borderId="0" applyFill="0" applyBorder="0" applyAlignment="0" applyProtection="0"/>
    <xf numFmtId="0" fontId="10" fillId="0" borderId="0" applyFill="0" applyBorder="0" applyAlignment="0" applyProtection="0"/>
    <xf numFmtId="165" fontId="10" fillId="0" borderId="0" applyFill="0" applyBorder="0" applyAlignment="0" applyProtection="0"/>
    <xf numFmtId="166" fontId="10" fillId="0" borderId="0" applyFill="0" applyBorder="0" applyAlignment="0" applyProtection="0"/>
    <xf numFmtId="176" fontId="61" fillId="0" borderId="0" applyFont="0" applyFill="0" applyBorder="0" applyAlignment="0" applyProtection="0"/>
    <xf numFmtId="167" fontId="21" fillId="0" borderId="0" applyFill="0" applyBorder="0" applyAlignment="0" applyProtection="0"/>
    <xf numFmtId="167" fontId="20" fillId="0" borderId="0" applyFill="0" applyBorder="0" applyAlignment="0" applyProtection="0"/>
    <xf numFmtId="168" fontId="21" fillId="0" borderId="0" applyFill="0" applyBorder="0" applyAlignment="0" applyProtection="0"/>
    <xf numFmtId="168" fontId="20" fillId="0" borderId="0" applyFill="0" applyBorder="0" applyAlignment="0" applyProtection="0"/>
    <xf numFmtId="169" fontId="20" fillId="0" borderId="0" applyFont="0" applyFill="0" applyBorder="0" applyAlignment="0" applyProtection="0"/>
    <xf numFmtId="170" fontId="20" fillId="0" borderId="0" applyFont="0" applyFill="0" applyBorder="0" applyAlignment="0" applyProtection="0"/>
    <xf numFmtId="0" fontId="22" fillId="0" borderId="3" applyAlignment="0"/>
    <xf numFmtId="0" fontId="23" fillId="0" borderId="3" applyAlignment="0"/>
    <xf numFmtId="0" fontId="22" fillId="0" borderId="3" applyAlignment="0"/>
    <xf numFmtId="0" fontId="23" fillId="0" borderId="3">
      <alignment vertical="top" wrapText="1"/>
    </xf>
    <xf numFmtId="0" fontId="3" fillId="0" borderId="0"/>
    <xf numFmtId="0" fontId="63" fillId="0" borderId="0"/>
    <xf numFmtId="0" fontId="2" fillId="0" borderId="0"/>
    <xf numFmtId="172" fontId="64" fillId="0" borderId="0" applyFill="0" applyBorder="0" applyAlignment="0" applyProtection="0"/>
    <xf numFmtId="0" fontId="48" fillId="0" borderId="0" applyNumberFormat="0" applyFill="0" applyBorder="0" applyAlignment="0" applyProtection="0"/>
    <xf numFmtId="2" fontId="21" fillId="0" borderId="0" applyFill="0" applyBorder="0" applyAlignment="0" applyProtection="0"/>
    <xf numFmtId="2" fontId="20" fillId="0" borderId="0" applyFill="0" applyBorder="0" applyAlignment="0" applyProtection="0"/>
    <xf numFmtId="0" fontId="37" fillId="0" borderId="4" applyNumberFormat="0" applyFill="0" applyAlignment="0" applyProtection="0"/>
    <xf numFmtId="0" fontId="38" fillId="0" borderId="5" applyNumberFormat="0" applyFill="0" applyAlignment="0" applyProtection="0"/>
    <xf numFmtId="0" fontId="39" fillId="0" borderId="6" applyNumberFormat="0" applyFill="0" applyAlignment="0" applyProtection="0"/>
    <xf numFmtId="0" fontId="39" fillId="0" borderId="0" applyNumberFormat="0" applyFill="0" applyBorder="0" applyAlignment="0" applyProtection="0"/>
    <xf numFmtId="0" fontId="24" fillId="0" borderId="0" applyNumberFormat="0" applyFill="0" applyBorder="0" applyAlignment="0" applyProtection="0">
      <alignment vertical="top"/>
      <protection locked="0"/>
    </xf>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42" fillId="7" borderId="1" applyNumberFormat="0" applyAlignment="0" applyProtection="0"/>
    <xf numFmtId="0" fontId="45" fillId="0" borderId="7" applyNumberFormat="0" applyFill="0" applyAlignment="0" applyProtection="0"/>
    <xf numFmtId="0" fontId="26" fillId="0" borderId="0" applyNumberFormat="0" applyFill="0" applyBorder="0" applyAlignment="0" applyProtection="0"/>
    <xf numFmtId="0" fontId="21" fillId="0" borderId="0"/>
    <xf numFmtId="0" fontId="20" fillId="0" borderId="0"/>
    <xf numFmtId="0" fontId="10" fillId="0" borderId="0"/>
    <xf numFmtId="0" fontId="20" fillId="0" borderId="0"/>
    <xf numFmtId="0" fontId="10" fillId="0" borderId="0"/>
    <xf numFmtId="0" fontId="27" fillId="0" borderId="0"/>
    <xf numFmtId="0" fontId="2" fillId="0" borderId="0"/>
    <xf numFmtId="0" fontId="27" fillId="0" borderId="0"/>
    <xf numFmtId="0" fontId="2" fillId="0" borderId="0"/>
    <xf numFmtId="0" fontId="27" fillId="0" borderId="0"/>
    <xf numFmtId="0" fontId="10" fillId="0" borderId="0"/>
    <xf numFmtId="0" fontId="2" fillId="0" borderId="0"/>
    <xf numFmtId="0" fontId="4" fillId="0" borderId="0"/>
    <xf numFmtId="0" fontId="10"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9" fillId="0" borderId="0"/>
    <xf numFmtId="0" fontId="10" fillId="0" borderId="0"/>
    <xf numFmtId="0" fontId="21" fillId="0" borderId="0"/>
    <xf numFmtId="0" fontId="20" fillId="0" borderId="0"/>
    <xf numFmtId="0" fontId="20" fillId="0" borderId="0"/>
    <xf numFmtId="0" fontId="20" fillId="0" borderId="0"/>
    <xf numFmtId="0" fontId="61" fillId="0" borderId="0"/>
    <xf numFmtId="0" fontId="61" fillId="0" borderId="0"/>
    <xf numFmtId="0" fontId="28" fillId="0" borderId="0">
      <alignment vertical="top"/>
    </xf>
    <xf numFmtId="0" fontId="27" fillId="0" borderId="0"/>
    <xf numFmtId="0" fontId="2" fillId="0" borderId="0"/>
    <xf numFmtId="0" fontId="10" fillId="0" borderId="0"/>
    <xf numFmtId="0" fontId="29" fillId="0" borderId="0"/>
    <xf numFmtId="0" fontId="4" fillId="0" borderId="0"/>
    <xf numFmtId="0" fontId="3" fillId="0" borderId="0"/>
    <xf numFmtId="0" fontId="2" fillId="0" borderId="0"/>
    <xf numFmtId="0" fontId="2" fillId="0" borderId="0"/>
    <xf numFmtId="0" fontId="2" fillId="0" borderId="0"/>
    <xf numFmtId="0" fontId="20" fillId="0" borderId="0"/>
    <xf numFmtId="0" fontId="21" fillId="0" borderId="0"/>
    <xf numFmtId="0" fontId="20" fillId="0" borderId="0"/>
    <xf numFmtId="0" fontId="28" fillId="0" borderId="0"/>
    <xf numFmtId="0" fontId="21" fillId="0" borderId="0"/>
    <xf numFmtId="0" fontId="20" fillId="0" borderId="0"/>
    <xf numFmtId="0" fontId="27" fillId="0" borderId="0"/>
    <xf numFmtId="0" fontId="2" fillId="0" borderId="0"/>
    <xf numFmtId="0" fontId="10" fillId="0" borderId="0"/>
    <xf numFmtId="0" fontId="6" fillId="0" borderId="0"/>
    <xf numFmtId="0" fontId="5" fillId="0" borderId="0"/>
    <xf numFmtId="0" fontId="2" fillId="0" borderId="0"/>
    <xf numFmtId="0" fontId="10" fillId="0" borderId="0"/>
    <xf numFmtId="0" fontId="27" fillId="0" borderId="0"/>
    <xf numFmtId="0" fontId="2" fillId="0" borderId="0"/>
    <xf numFmtId="0" fontId="27" fillId="0" borderId="0"/>
    <xf numFmtId="0" fontId="2" fillId="0" borderId="0"/>
    <xf numFmtId="0" fontId="27" fillId="0" borderId="0"/>
    <xf numFmtId="0" fontId="2" fillId="0" borderId="0"/>
    <xf numFmtId="0" fontId="21" fillId="0" borderId="0"/>
    <xf numFmtId="0" fontId="20" fillId="0" borderId="0"/>
    <xf numFmtId="0" fontId="10" fillId="0" borderId="0"/>
    <xf numFmtId="0" fontId="10" fillId="0" borderId="0"/>
    <xf numFmtId="0" fontId="27" fillId="0" borderId="0"/>
    <xf numFmtId="0" fontId="2" fillId="0" borderId="0"/>
    <xf numFmtId="0" fontId="27" fillId="0" borderId="0"/>
    <xf numFmtId="0" fontId="2" fillId="0" borderId="0"/>
    <xf numFmtId="0" fontId="15" fillId="0" borderId="0"/>
    <xf numFmtId="0" fontId="20" fillId="0" borderId="0"/>
    <xf numFmtId="0" fontId="51" fillId="0" borderId="0"/>
    <xf numFmtId="0" fontId="10" fillId="0" borderId="0"/>
    <xf numFmtId="0" fontId="10" fillId="0" borderId="0"/>
    <xf numFmtId="0" fontId="20" fillId="0" borderId="0"/>
    <xf numFmtId="0" fontId="6" fillId="0" borderId="0"/>
    <xf numFmtId="0" fontId="30" fillId="21" borderId="0" applyNumberFormat="0" applyBorder="0" applyAlignment="0" applyProtection="0"/>
    <xf numFmtId="0" fontId="27" fillId="0" borderId="0"/>
    <xf numFmtId="0" fontId="2" fillId="0" borderId="0"/>
    <xf numFmtId="0" fontId="31" fillId="0" borderId="0">
      <alignment vertical="top"/>
    </xf>
    <xf numFmtId="0" fontId="28" fillId="0" borderId="0">
      <alignment vertical="top"/>
    </xf>
    <xf numFmtId="0" fontId="61" fillId="0" borderId="0"/>
    <xf numFmtId="0" fontId="66" fillId="0" borderId="0"/>
    <xf numFmtId="0" fontId="29" fillId="0" borderId="0"/>
    <xf numFmtId="0" fontId="21" fillId="0" borderId="0"/>
    <xf numFmtId="0" fontId="10" fillId="0" borderId="0"/>
    <xf numFmtId="0" fontId="10" fillId="0" borderId="0"/>
    <xf numFmtId="0" fontId="20" fillId="0" borderId="0"/>
    <xf numFmtId="0" fontId="20" fillId="0" borderId="0"/>
    <xf numFmtId="0" fontId="10" fillId="0" borderId="0"/>
    <xf numFmtId="0" fontId="10" fillId="0" borderId="0"/>
    <xf numFmtId="0" fontId="35" fillId="0" borderId="0"/>
    <xf numFmtId="0" fontId="27" fillId="0" borderId="0"/>
    <xf numFmtId="0" fontId="2" fillId="0" borderId="0"/>
    <xf numFmtId="0" fontId="2" fillId="0" borderId="0"/>
    <xf numFmtId="0" fontId="4"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32" fillId="0" borderId="0">
      <alignment wrapText="1"/>
    </xf>
    <xf numFmtId="0" fontId="31" fillId="0" borderId="0">
      <alignment vertical="top"/>
    </xf>
    <xf numFmtId="0" fontId="28" fillId="0" borderId="0">
      <alignment vertical="top"/>
    </xf>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10" fillId="0" borderId="0"/>
    <xf numFmtId="0" fontId="27" fillId="0" borderId="0"/>
    <xf numFmtId="0" fontId="2" fillId="0" borderId="0"/>
    <xf numFmtId="0" fontId="27" fillId="0" borderId="0"/>
    <xf numFmtId="0" fontId="2" fillId="0" borderId="0"/>
    <xf numFmtId="0" fontId="27" fillId="0" borderId="0"/>
    <xf numFmtId="0" fontId="2" fillId="0" borderId="0"/>
    <xf numFmtId="0" fontId="65" fillId="0" borderId="0"/>
    <xf numFmtId="0" fontId="6" fillId="22" borderId="8" applyNumberFormat="0" applyFont="0" applyAlignment="0" applyProtection="0"/>
    <xf numFmtId="9" fontId="21" fillId="0" borderId="0" applyFill="0" applyBorder="0" applyAlignment="0" applyProtection="0"/>
    <xf numFmtId="9" fontId="20" fillId="0" borderId="0" applyFill="0" applyBorder="0" applyAlignment="0" applyProtection="0"/>
    <xf numFmtId="0" fontId="43" fillId="7" borderId="9" applyNumberFormat="0" applyAlignment="0" applyProtection="0"/>
    <xf numFmtId="4" fontId="33" fillId="0" borderId="0">
      <alignment vertical="top"/>
      <protection hidden="1"/>
    </xf>
    <xf numFmtId="49" fontId="34" fillId="23" borderId="10">
      <alignment horizontal="center" vertical="top" wrapText="1"/>
    </xf>
    <xf numFmtId="0" fontId="10" fillId="0" borderId="0"/>
    <xf numFmtId="0" fontId="54" fillId="24" borderId="0" applyAlignment="0">
      <alignment horizontal="justify" vertical="top" wrapText="1"/>
    </xf>
    <xf numFmtId="0" fontId="54" fillId="24" borderId="0" applyAlignment="0">
      <alignment horizontal="justify" vertical="top" wrapText="1"/>
    </xf>
    <xf numFmtId="0" fontId="36" fillId="0" borderId="0" applyNumberFormat="0" applyFill="0" applyBorder="0" applyAlignment="0" applyProtection="0"/>
    <xf numFmtId="0" fontId="26" fillId="0" borderId="0" applyNumberFormat="0" applyFill="0" applyBorder="0" applyAlignment="0" applyProtection="0"/>
    <xf numFmtId="0" fontId="49" fillId="0" borderId="11" applyNumberFormat="0" applyFill="0" applyAlignment="0" applyProtection="0"/>
    <xf numFmtId="44" fontId="6" fillId="0" borderId="0" applyFont="0" applyFill="0" applyBorder="0" applyAlignment="0" applyProtection="0"/>
    <xf numFmtId="171" fontId="28" fillId="0" borderId="0" applyFont="0" applyFill="0" applyBorder="0" applyAlignment="0" applyProtection="0"/>
    <xf numFmtId="164" fontId="6" fillId="0" borderId="0" applyFont="0" applyFill="0" applyBorder="0" applyAlignment="0" applyProtection="0"/>
    <xf numFmtId="40" fontId="28" fillId="0" borderId="0" applyFont="0" applyFill="0" applyBorder="0" applyAlignment="0" applyProtection="0"/>
    <xf numFmtId="172" fontId="21" fillId="0" borderId="0" applyFill="0" applyBorder="0" applyAlignment="0" applyProtection="0"/>
    <xf numFmtId="173" fontId="20" fillId="0" borderId="0" applyFont="0" applyFill="0" applyBorder="0" applyAlignment="0" applyProtection="0"/>
    <xf numFmtId="172" fontId="20" fillId="0" borderId="0" applyFill="0" applyBorder="0" applyAlignment="0" applyProtection="0"/>
    <xf numFmtId="172" fontId="20" fillId="0" borderId="0" applyFill="0" applyBorder="0" applyAlignment="0" applyProtection="0"/>
    <xf numFmtId="172" fontId="21" fillId="0" borderId="0" applyFill="0" applyBorder="0" applyAlignment="0" applyProtection="0"/>
    <xf numFmtId="173" fontId="20" fillId="0" borderId="0" applyFont="0" applyFill="0" applyBorder="0" applyAlignment="0" applyProtection="0"/>
    <xf numFmtId="172" fontId="20" fillId="0" borderId="0" applyFill="0" applyBorder="0" applyAlignment="0" applyProtection="0"/>
    <xf numFmtId="172" fontId="20" fillId="0" borderId="0" applyFill="0" applyBorder="0" applyAlignment="0" applyProtection="0"/>
    <xf numFmtId="0" fontId="47" fillId="0" borderId="0" applyNumberFormat="0" applyFill="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6"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21"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22" borderId="0" applyNumberFormat="0" applyBorder="0" applyAlignment="0" applyProtection="0"/>
    <xf numFmtId="0" fontId="50" fillId="6" borderId="0" applyNumberFormat="0" applyBorder="0" applyAlignment="0" applyProtection="0"/>
    <xf numFmtId="0" fontId="50" fillId="19" borderId="0" applyNumberFormat="0" applyBorder="0" applyAlignment="0" applyProtection="0"/>
    <xf numFmtId="0" fontId="50" fillId="11" borderId="0" applyNumberFormat="0" applyBorder="0" applyAlignment="0" applyProtection="0"/>
    <xf numFmtId="0" fontId="50" fillId="3" borderId="0" applyNumberFormat="0" applyBorder="0" applyAlignment="0" applyProtection="0"/>
    <xf numFmtId="0" fontId="50" fillId="6" borderId="0" applyNumberFormat="0" applyBorder="0" applyAlignment="0" applyProtection="0"/>
    <xf numFmtId="0" fontId="50" fillId="9" borderId="0" applyNumberFormat="0" applyBorder="0" applyAlignment="0" applyProtection="0"/>
    <xf numFmtId="0" fontId="40" fillId="6" borderId="0" applyNumberFormat="0" applyBorder="0" applyAlignment="0" applyProtection="0"/>
    <xf numFmtId="0" fontId="40" fillId="4" borderId="0" applyNumberFormat="0" applyBorder="0" applyAlignment="0" applyProtection="0"/>
    <xf numFmtId="0" fontId="42" fillId="26" borderId="1" applyNumberFormat="0" applyAlignment="0" applyProtection="0"/>
    <xf numFmtId="0" fontId="43" fillId="27" borderId="9" applyNumberFormat="0" applyAlignment="0" applyProtection="0"/>
    <xf numFmtId="0" fontId="68" fillId="0" borderId="0" applyNumberFormat="0" applyFill="0" applyBorder="0" applyAlignment="0" applyProtection="0"/>
    <xf numFmtId="0" fontId="69" fillId="0" borderId="19" applyNumberFormat="0" applyFill="0" applyAlignment="0" applyProtection="0"/>
    <xf numFmtId="0" fontId="70" fillId="0" borderId="20" applyNumberFormat="0" applyFill="0" applyAlignment="0" applyProtection="0"/>
    <xf numFmtId="0" fontId="71" fillId="0" borderId="21" applyNumberFormat="0" applyFill="0" applyAlignment="0" applyProtection="0"/>
    <xf numFmtId="0" fontId="71" fillId="0" borderId="0" applyNumberFormat="0" applyFill="0" applyBorder="0" applyAlignment="0" applyProtection="0"/>
    <xf numFmtId="0" fontId="6" fillId="0" borderId="0"/>
    <xf numFmtId="0" fontId="6" fillId="0" borderId="0"/>
    <xf numFmtId="0" fontId="67" fillId="0" borderId="0"/>
    <xf numFmtId="0" fontId="73" fillId="21" borderId="0" applyNumberFormat="0" applyBorder="0" applyAlignment="0" applyProtection="0"/>
    <xf numFmtId="0" fontId="2" fillId="22" borderId="8" applyNumberFormat="0" applyFont="0" applyAlignment="0" applyProtection="0"/>
    <xf numFmtId="0" fontId="72" fillId="22" borderId="8" applyNumberFormat="0" applyFon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50" fillId="28" borderId="0" applyNumberFormat="0" applyBorder="0" applyAlignment="0" applyProtection="0"/>
    <xf numFmtId="0" fontId="50" fillId="19" borderId="0" applyNumberFormat="0" applyBorder="0" applyAlignment="0" applyProtection="0"/>
    <xf numFmtId="0" fontId="50" fillId="11" borderId="0" applyNumberFormat="0" applyBorder="0" applyAlignment="0" applyProtection="0"/>
    <xf numFmtId="0" fontId="50" fillId="29" borderId="0" applyNumberFormat="0" applyBorder="0" applyAlignment="0" applyProtection="0"/>
    <xf numFmtId="0" fontId="50" fillId="14" borderId="0" applyNumberFormat="0" applyBorder="0" applyAlignment="0" applyProtection="0"/>
    <xf numFmtId="0" fontId="50" fillId="17" borderId="0" applyNumberFormat="0" applyBorder="0" applyAlignment="0" applyProtection="0"/>
    <xf numFmtId="0" fontId="47" fillId="0" borderId="22" applyNumberFormat="0" applyFill="0" applyAlignment="0" applyProtection="0"/>
    <xf numFmtId="0" fontId="46" fillId="20" borderId="2" applyNumberFormat="0" applyAlignment="0" applyProtection="0"/>
    <xf numFmtId="0" fontId="74" fillId="27" borderId="1" applyNumberFormat="0" applyAlignment="0" applyProtection="0"/>
    <xf numFmtId="0" fontId="41" fillId="5" borderId="0" applyNumberFormat="0" applyBorder="0" applyAlignment="0" applyProtection="0"/>
    <xf numFmtId="176" fontId="6" fillId="0" borderId="0" applyFont="0" applyFill="0" applyBorder="0" applyAlignment="0" applyProtection="0"/>
    <xf numFmtId="0" fontId="42" fillId="21" borderId="1" applyNumberFormat="0" applyAlignment="0" applyProtection="0"/>
    <xf numFmtId="0" fontId="49" fillId="0" borderId="23" applyNumberFormat="0" applyFill="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2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50" fillId="12"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178" fontId="20" fillId="0" borderId="0" applyFont="0" applyFill="0" applyBorder="0" applyAlignment="0" applyProtection="0"/>
    <xf numFmtId="0" fontId="40" fillId="4" borderId="0" applyNumberFormat="0" applyBorder="0" applyAlignment="0" applyProtection="0"/>
    <xf numFmtId="179" fontId="76" fillId="0" borderId="0" applyFont="0" applyFill="0" applyBorder="0" applyAlignment="0" applyProtection="0"/>
    <xf numFmtId="0" fontId="43" fillId="7" borderId="9" applyNumberFormat="0" applyAlignment="0" applyProtection="0"/>
    <xf numFmtId="0" fontId="37" fillId="0" borderId="4" applyNumberFormat="0" applyFill="0" applyAlignment="0" applyProtection="0"/>
    <xf numFmtId="0" fontId="38" fillId="0" borderId="5" applyNumberFormat="0" applyFill="0" applyAlignment="0" applyProtection="0"/>
    <xf numFmtId="0" fontId="39" fillId="0" borderId="6" applyNumberFormat="0" applyFill="0" applyAlignment="0" applyProtection="0"/>
    <xf numFmtId="0" fontId="39" fillId="0" borderId="0" applyNumberFormat="0" applyFill="0" applyBorder="0" applyAlignment="0" applyProtection="0"/>
    <xf numFmtId="0" fontId="76" fillId="0" borderId="0"/>
    <xf numFmtId="0" fontId="6" fillId="0" borderId="0"/>
    <xf numFmtId="0" fontId="20" fillId="0" borderId="0"/>
    <xf numFmtId="0" fontId="20" fillId="0" borderId="0"/>
    <xf numFmtId="0" fontId="6" fillId="0" borderId="0"/>
    <xf numFmtId="0" fontId="77" fillId="0" borderId="0"/>
    <xf numFmtId="0" fontId="20" fillId="0" borderId="0"/>
    <xf numFmtId="0" fontId="20" fillId="0" borderId="0"/>
    <xf numFmtId="0" fontId="30" fillId="21" borderId="0" applyNumberFormat="0" applyBorder="0" applyAlignment="0" applyProtection="0"/>
    <xf numFmtId="0" fontId="51" fillId="0" borderId="0"/>
    <xf numFmtId="0" fontId="76" fillId="22" borderId="8" applyNumberFormat="0" applyFont="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3" borderId="0" applyNumberFormat="0" applyBorder="0" applyAlignment="0" applyProtection="0"/>
    <xf numFmtId="0" fontId="50" fillId="19" borderId="0" applyNumberFormat="0" applyBorder="0" applyAlignment="0" applyProtection="0"/>
    <xf numFmtId="0" fontId="45" fillId="0" borderId="7" applyNumberFormat="0" applyFill="0" applyAlignment="0" applyProtection="0"/>
    <xf numFmtId="0" fontId="44" fillId="7" borderId="1" applyNumberFormat="0" applyAlignment="0" applyProtection="0"/>
    <xf numFmtId="0" fontId="41" fillId="3" borderId="0" applyNumberFormat="0" applyBorder="0" applyAlignment="0" applyProtection="0"/>
    <xf numFmtId="176" fontId="20" fillId="0" borderId="0" applyFont="0" applyFill="0" applyBorder="0" applyAlignment="0" applyProtection="0"/>
    <xf numFmtId="180" fontId="6" fillId="0" borderId="0" applyFont="0" applyFill="0" applyBorder="0" applyAlignment="0" applyProtection="0"/>
    <xf numFmtId="181" fontId="6" fillId="0" borderId="0" applyFont="0" applyFill="0" applyBorder="0" applyAlignment="0" applyProtection="0"/>
    <xf numFmtId="182" fontId="6" fillId="0" borderId="0" applyFont="0" applyFill="0" applyBorder="0" applyAlignment="0" applyProtection="0"/>
    <xf numFmtId="181" fontId="6" fillId="0" borderId="0" applyFont="0" applyFill="0" applyBorder="0" applyAlignment="0" applyProtection="0"/>
    <xf numFmtId="178" fontId="76" fillId="0" borderId="0" applyFont="0" applyFill="0" applyBorder="0" applyAlignment="0" applyProtection="0"/>
    <xf numFmtId="178" fontId="76" fillId="0" borderId="0" applyFont="0" applyFill="0" applyBorder="0" applyAlignment="0" applyProtection="0"/>
    <xf numFmtId="178" fontId="76" fillId="0" borderId="0" applyFont="0" applyFill="0" applyBorder="0" applyAlignment="0" applyProtection="0"/>
    <xf numFmtId="181" fontId="76" fillId="0" borderId="0" applyFont="0" applyFill="0" applyBorder="0" applyAlignment="0" applyProtection="0"/>
    <xf numFmtId="178" fontId="10" fillId="0" borderId="0" applyFont="0" applyFill="0" applyBorder="0" applyAlignment="0" applyProtection="0"/>
    <xf numFmtId="177" fontId="6" fillId="0" borderId="0" applyFont="0" applyFill="0" applyBorder="0" applyAlignment="0" applyProtection="0"/>
    <xf numFmtId="181" fontId="76" fillId="0" borderId="0" applyFont="0" applyFill="0" applyBorder="0" applyAlignment="0" applyProtection="0"/>
    <xf numFmtId="180" fontId="76" fillId="0" borderId="0" applyFont="0" applyFill="0" applyBorder="0" applyAlignment="0" applyProtection="0"/>
    <xf numFmtId="173" fontId="6" fillId="0" borderId="0" applyFont="0" applyFill="0" applyBorder="0" applyAlignment="0" applyProtection="0"/>
    <xf numFmtId="180" fontId="76" fillId="0" borderId="0" applyFont="0" applyFill="0" applyBorder="0" applyAlignment="0" applyProtection="0"/>
    <xf numFmtId="180" fontId="76" fillId="0" borderId="0" applyFont="0" applyFill="0" applyBorder="0" applyAlignment="0" applyProtection="0"/>
    <xf numFmtId="178" fontId="76" fillId="0" borderId="0" applyFont="0" applyFill="0" applyBorder="0" applyAlignment="0" applyProtection="0"/>
    <xf numFmtId="178" fontId="76" fillId="0" borderId="0" applyFont="0" applyFill="0" applyBorder="0" applyAlignment="0" applyProtection="0"/>
    <xf numFmtId="173" fontId="6" fillId="0" borderId="0" applyFont="0" applyFill="0" applyBorder="0" applyAlignment="0" applyProtection="0"/>
    <xf numFmtId="173" fontId="20" fillId="0" borderId="0" applyFont="0" applyFill="0" applyBorder="0" applyAlignment="0" applyProtection="0"/>
    <xf numFmtId="173" fontId="20" fillId="0" borderId="0" applyFont="0" applyFill="0" applyBorder="0" applyAlignment="0" applyProtection="0"/>
    <xf numFmtId="0" fontId="42" fillId="26" borderId="1" applyNumberFormat="0" applyAlignment="0" applyProtection="0"/>
    <xf numFmtId="0" fontId="49" fillId="0" borderId="11" applyNumberFormat="0" applyFill="0" applyAlignment="0" applyProtection="0"/>
    <xf numFmtId="0" fontId="20" fillId="0" borderId="0"/>
    <xf numFmtId="0" fontId="2" fillId="0" borderId="0"/>
    <xf numFmtId="0" fontId="1" fillId="0" borderId="0"/>
    <xf numFmtId="44" fontId="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xf numFmtId="43" fontId="10" fillId="0" borderId="0" applyFont="0" applyFill="0" applyBorder="0" applyAlignment="0" applyProtection="0"/>
    <xf numFmtId="43" fontId="76" fillId="0" borderId="0" applyFont="0" applyFill="0" applyBorder="0" applyAlignment="0" applyProtection="0"/>
    <xf numFmtId="43" fontId="76" fillId="0" borderId="0" applyFont="0" applyFill="0" applyBorder="0" applyAlignment="0" applyProtection="0"/>
  </cellStyleXfs>
  <cellXfs count="476">
    <xf numFmtId="0" fontId="0" fillId="0" borderId="0" xfId="0"/>
    <xf numFmtId="0" fontId="7" fillId="0" borderId="0" xfId="0" applyFont="1"/>
    <xf numFmtId="0" fontId="8" fillId="0" borderId="0" xfId="0" applyFont="1"/>
    <xf numFmtId="0" fontId="8" fillId="0" borderId="0" xfId="0" applyFont="1" applyAlignment="1">
      <alignment horizontal="center"/>
    </xf>
    <xf numFmtId="0" fontId="0" fillId="0" borderId="0" xfId="0" applyAlignment="1">
      <alignment vertical="top" wrapText="1"/>
    </xf>
    <xf numFmtId="0" fontId="8" fillId="0" borderId="0" xfId="0" applyFont="1" applyAlignment="1">
      <alignment vertical="top" wrapText="1"/>
    </xf>
    <xf numFmtId="0" fontId="7" fillId="0" borderId="0" xfId="0" applyFont="1" applyAlignment="1">
      <alignment vertical="top" wrapText="1"/>
    </xf>
    <xf numFmtId="0" fontId="7" fillId="0" borderId="12" xfId="0" applyFont="1" applyBorder="1" applyAlignment="1">
      <alignment vertical="top" wrapText="1"/>
    </xf>
    <xf numFmtId="0" fontId="8" fillId="0" borderId="0" xfId="0" applyFont="1" applyAlignment="1">
      <alignment horizontal="right" vertical="top"/>
    </xf>
    <xf numFmtId="0" fontId="8" fillId="0" borderId="0" xfId="0" applyFont="1" applyAlignment="1">
      <alignment vertical="top"/>
    </xf>
    <xf numFmtId="0" fontId="6" fillId="0" borderId="0" xfId="0" applyFont="1"/>
    <xf numFmtId="0" fontId="9" fillId="0" borderId="12" xfId="0" applyFont="1" applyBorder="1" applyAlignment="1">
      <alignment horizontal="center"/>
    </xf>
    <xf numFmtId="0" fontId="8" fillId="25" borderId="13" xfId="0" applyFont="1" applyFill="1" applyBorder="1"/>
    <xf numFmtId="0" fontId="0" fillId="25" borderId="13" xfId="0" applyFill="1" applyBorder="1"/>
    <xf numFmtId="0" fontId="0" fillId="25" borderId="13" xfId="0" applyFill="1" applyBorder="1" applyAlignment="1">
      <alignment horizontal="left" vertical="center" wrapText="1"/>
    </xf>
    <xf numFmtId="0" fontId="0" fillId="25" borderId="13" xfId="0" applyFill="1" applyBorder="1" applyAlignment="1">
      <alignment horizontal="center" vertical="center" wrapText="1"/>
    </xf>
    <xf numFmtId="2" fontId="0" fillId="25" borderId="13" xfId="0" applyNumberFormat="1" applyFill="1" applyBorder="1" applyAlignment="1">
      <alignment horizontal="center" vertical="center"/>
    </xf>
    <xf numFmtId="4" fontId="0" fillId="25" borderId="13" xfId="0" applyNumberFormat="1" applyFill="1" applyBorder="1" applyAlignment="1">
      <alignment horizontal="center" vertical="center" wrapText="1"/>
    </xf>
    <xf numFmtId="0" fontId="0" fillId="0" borderId="0" xfId="0" applyAlignment="1">
      <alignment horizontal="right" vertical="top"/>
    </xf>
    <xf numFmtId="0" fontId="0" fillId="0" borderId="0" xfId="0" applyAlignment="1">
      <alignment horizontal="left" vertical="top"/>
    </xf>
    <xf numFmtId="2" fontId="0" fillId="0" borderId="0" xfId="0" applyNumberFormat="1" applyAlignment="1">
      <alignment horizontal="right" vertical="top"/>
    </xf>
    <xf numFmtId="4" fontId="0" fillId="0" borderId="0" xfId="0" applyNumberFormat="1" applyAlignment="1">
      <alignment vertical="top"/>
    </xf>
    <xf numFmtId="0" fontId="0" fillId="0" borderId="0" xfId="0" applyAlignment="1">
      <alignment horizontal="justify" vertical="top" wrapText="1"/>
    </xf>
    <xf numFmtId="0" fontId="0" fillId="0" borderId="0" xfId="0" applyAlignment="1">
      <alignment horizontal="center"/>
    </xf>
    <xf numFmtId="2" fontId="0" fillId="0" borderId="0" xfId="0" applyNumberFormat="1" applyAlignment="1">
      <alignment horizontal="right"/>
    </xf>
    <xf numFmtId="4" fontId="0" fillId="0" borderId="0" xfId="0" applyNumberFormat="1" applyAlignment="1">
      <alignment horizontal="right"/>
    </xf>
    <xf numFmtId="0" fontId="0" fillId="0" borderId="12" xfId="0" applyBorder="1" applyAlignment="1">
      <alignment vertical="top" wrapText="1"/>
    </xf>
    <xf numFmtId="0" fontId="0" fillId="0" borderId="12" xfId="0" applyBorder="1" applyAlignment="1">
      <alignment horizontal="left" vertical="top"/>
    </xf>
    <xf numFmtId="2" fontId="0" fillId="0" borderId="12" xfId="0" applyNumberFormat="1" applyBorder="1" applyAlignment="1">
      <alignment horizontal="right" vertical="top"/>
    </xf>
    <xf numFmtId="0" fontId="0" fillId="0" borderId="14" xfId="0" applyBorder="1" applyAlignment="1">
      <alignment horizontal="right" vertical="top"/>
    </xf>
    <xf numFmtId="0" fontId="0" fillId="25" borderId="15" xfId="0" applyFill="1" applyBorder="1"/>
    <xf numFmtId="4" fontId="0" fillId="0" borderId="0" xfId="0" applyNumberFormat="1" applyAlignment="1">
      <alignment horizontal="right" vertical="top"/>
    </xf>
    <xf numFmtId="2" fontId="0" fillId="0" borderId="0" xfId="0" applyNumberFormat="1" applyAlignment="1">
      <alignment horizontal="justify" vertical="top" wrapText="1"/>
    </xf>
    <xf numFmtId="0" fontId="8" fillId="0" borderId="12" xfId="0" applyFont="1" applyBorder="1" applyAlignment="1">
      <alignment vertical="top" wrapText="1"/>
    </xf>
    <xf numFmtId="0" fontId="8" fillId="0" borderId="12" xfId="0" applyFont="1" applyBorder="1" applyAlignment="1">
      <alignment horizontal="center"/>
    </xf>
    <xf numFmtId="2" fontId="8" fillId="0" borderId="12" xfId="0" applyNumberFormat="1" applyFont="1" applyBorder="1" applyAlignment="1">
      <alignment horizontal="right" vertical="top"/>
    </xf>
    <xf numFmtId="4" fontId="8" fillId="0" borderId="12" xfId="0" applyNumberFormat="1" applyFont="1" applyBorder="1" applyAlignment="1">
      <alignment vertical="top"/>
    </xf>
    <xf numFmtId="2" fontId="8" fillId="0" borderId="0" xfId="0" applyNumberFormat="1" applyFont="1" applyAlignment="1">
      <alignment horizontal="right" vertical="top"/>
    </xf>
    <xf numFmtId="4" fontId="8" fillId="0" borderId="0" xfId="0" applyNumberFormat="1" applyFont="1" applyAlignment="1">
      <alignment vertical="top"/>
    </xf>
    <xf numFmtId="0" fontId="8" fillId="0" borderId="14" xfId="0" applyFont="1" applyBorder="1" applyAlignment="1">
      <alignment horizontal="right" vertical="top"/>
    </xf>
    <xf numFmtId="0" fontId="0" fillId="0" borderId="0" xfId="0" applyAlignment="1">
      <alignment horizontal="justify" vertical="justify"/>
    </xf>
    <xf numFmtId="0" fontId="0" fillId="0" borderId="0" xfId="0" applyAlignment="1">
      <alignment horizontal="right"/>
    </xf>
    <xf numFmtId="0" fontId="0" fillId="0" borderId="0" xfId="0" applyAlignment="1">
      <alignment horizontal="center" vertical="top"/>
    </xf>
    <xf numFmtId="4" fontId="0" fillId="0" borderId="12" xfId="0" applyNumberFormat="1" applyBorder="1" applyAlignment="1">
      <alignment vertical="top"/>
    </xf>
    <xf numFmtId="0" fontId="8" fillId="0" borderId="12" xfId="0" applyFont="1" applyBorder="1" applyAlignment="1">
      <alignment horizontal="left" vertical="top"/>
    </xf>
    <xf numFmtId="0" fontId="8" fillId="0" borderId="0" xfId="0" applyFont="1" applyAlignment="1">
      <alignment horizontal="left" vertical="top"/>
    </xf>
    <xf numFmtId="0" fontId="0" fillId="0" borderId="12" xfId="0" applyBorder="1" applyAlignment="1">
      <alignment horizontal="right" vertical="top"/>
    </xf>
    <xf numFmtId="4" fontId="0" fillId="0" borderId="0" xfId="0" applyNumberFormat="1" applyAlignment="1">
      <alignment horizontal="left" vertical="top"/>
    </xf>
    <xf numFmtId="0" fontId="0" fillId="0" borderId="0" xfId="0" applyAlignment="1">
      <alignment vertical="top"/>
    </xf>
    <xf numFmtId="0" fontId="10" fillId="0" borderId="0" xfId="0" applyFont="1"/>
    <xf numFmtId="0" fontId="10" fillId="0" borderId="0" xfId="0" applyFont="1" applyAlignment="1">
      <alignment horizontal="center"/>
    </xf>
    <xf numFmtId="0" fontId="10" fillId="0" borderId="0" xfId="0" applyFont="1" applyAlignment="1">
      <alignment vertical="top" wrapText="1"/>
    </xf>
    <xf numFmtId="0" fontId="10" fillId="25" borderId="16" xfId="0" applyFont="1" applyFill="1" applyBorder="1" applyAlignment="1">
      <alignment horizontal="left" vertical="center"/>
    </xf>
    <xf numFmtId="0" fontId="10" fillId="25" borderId="13" xfId="0" applyFont="1" applyFill="1" applyBorder="1" applyAlignment="1">
      <alignment horizontal="center" vertical="center" wrapText="1"/>
    </xf>
    <xf numFmtId="2" fontId="10" fillId="25" borderId="13" xfId="0" applyNumberFormat="1" applyFont="1" applyFill="1" applyBorder="1" applyAlignment="1">
      <alignment horizontal="center" vertical="center"/>
    </xf>
    <xf numFmtId="4" fontId="10" fillId="25" borderId="13" xfId="0" applyNumberFormat="1" applyFont="1" applyFill="1" applyBorder="1" applyAlignment="1">
      <alignment horizontal="center" vertical="center" wrapText="1"/>
    </xf>
    <xf numFmtId="0" fontId="10" fillId="0" borderId="0" xfId="0" applyFont="1" applyAlignment="1">
      <alignment horizontal="right" vertical="top"/>
    </xf>
    <xf numFmtId="0" fontId="10" fillId="0" borderId="0" xfId="0" applyFont="1" applyAlignment="1">
      <alignment horizontal="left" vertical="top"/>
    </xf>
    <xf numFmtId="2" fontId="10" fillId="0" borderId="0" xfId="0" applyNumberFormat="1" applyFont="1" applyAlignment="1">
      <alignment horizontal="right" vertical="top"/>
    </xf>
    <xf numFmtId="4" fontId="10" fillId="0" borderId="0" xfId="0" applyNumberFormat="1" applyFont="1" applyAlignment="1">
      <alignment vertical="top"/>
    </xf>
    <xf numFmtId="0" fontId="10" fillId="0" borderId="0" xfId="0" applyFont="1" applyAlignment="1">
      <alignment horizontal="left" vertical="top" wrapText="1"/>
    </xf>
    <xf numFmtId="4" fontId="10" fillId="0" borderId="0" xfId="0" applyNumberFormat="1" applyFont="1" applyAlignment="1">
      <alignment horizontal="right" vertical="top"/>
    </xf>
    <xf numFmtId="0" fontId="7" fillId="0" borderId="12" xfId="0" applyFont="1" applyBorder="1" applyAlignment="1">
      <alignment horizontal="left" vertical="top"/>
    </xf>
    <xf numFmtId="2" fontId="7" fillId="0" borderId="12" xfId="0" applyNumberFormat="1" applyFont="1" applyBorder="1" applyAlignment="1">
      <alignment horizontal="right" vertical="top"/>
    </xf>
    <xf numFmtId="4" fontId="7" fillId="0" borderId="12" xfId="0" applyNumberFormat="1" applyFont="1" applyBorder="1" applyAlignment="1">
      <alignment vertical="top"/>
    </xf>
    <xf numFmtId="4" fontId="7" fillId="0" borderId="0" xfId="0" applyNumberFormat="1" applyFont="1" applyAlignment="1">
      <alignment vertical="top"/>
    </xf>
    <xf numFmtId="0" fontId="7" fillId="0" borderId="12" xfId="0" applyFont="1" applyBorder="1" applyAlignment="1">
      <alignment horizontal="right" vertical="top"/>
    </xf>
    <xf numFmtId="0" fontId="0" fillId="0" borderId="0" xfId="0" applyAlignment="1">
      <alignment wrapText="1"/>
    </xf>
    <xf numFmtId="0" fontId="0" fillId="0" borderId="12" xfId="0" applyBorder="1" applyAlignment="1">
      <alignment wrapText="1"/>
    </xf>
    <xf numFmtId="4" fontId="0" fillId="0" borderId="12" xfId="0" applyNumberFormat="1" applyBorder="1" applyAlignment="1">
      <alignment horizontal="right"/>
    </xf>
    <xf numFmtId="4" fontId="0" fillId="0" borderId="0" xfId="0" applyNumberFormat="1"/>
    <xf numFmtId="0" fontId="8" fillId="25" borderId="12" xfId="0" applyFont="1" applyFill="1" applyBorder="1"/>
    <xf numFmtId="0" fontId="0" fillId="25" borderId="12" xfId="0" applyFill="1" applyBorder="1"/>
    <xf numFmtId="0" fontId="7" fillId="25" borderId="13" xfId="0" applyFont="1" applyFill="1" applyBorder="1" applyAlignment="1">
      <alignment horizontal="left" vertical="top"/>
    </xf>
    <xf numFmtId="2" fontId="7" fillId="25" borderId="13" xfId="0" applyNumberFormat="1" applyFont="1" applyFill="1" applyBorder="1" applyAlignment="1">
      <alignment horizontal="right" vertical="top"/>
    </xf>
    <xf numFmtId="4" fontId="7" fillId="25" borderId="13" xfId="0" applyNumberFormat="1" applyFont="1" applyFill="1" applyBorder="1" applyAlignment="1">
      <alignment vertical="top"/>
    </xf>
    <xf numFmtId="4" fontId="7" fillId="25" borderId="15" xfId="0" applyNumberFormat="1" applyFont="1" applyFill="1" applyBorder="1" applyAlignment="1">
      <alignment vertical="top"/>
    </xf>
    <xf numFmtId="0" fontId="10" fillId="25" borderId="0" xfId="0" applyFont="1" applyFill="1"/>
    <xf numFmtId="0" fontId="8" fillId="25" borderId="0" xfId="0" applyFont="1" applyFill="1"/>
    <xf numFmtId="0" fontId="0" fillId="25" borderId="0" xfId="0" applyFill="1"/>
    <xf numFmtId="0" fontId="8" fillId="0" borderId="14" xfId="0" applyFont="1" applyBorder="1" applyAlignment="1">
      <alignment vertical="top" wrapText="1"/>
    </xf>
    <xf numFmtId="0" fontId="0" fillId="0" borderId="14" xfId="0" applyBorder="1" applyAlignment="1">
      <alignment horizontal="center"/>
    </xf>
    <xf numFmtId="4" fontId="8" fillId="0" borderId="0" xfId="0" applyNumberFormat="1" applyFont="1" applyAlignment="1">
      <alignment horizontal="right" vertical="top"/>
    </xf>
    <xf numFmtId="4" fontId="8" fillId="0" borderId="0" xfId="0" applyNumberFormat="1" applyFont="1"/>
    <xf numFmtId="0" fontId="7" fillId="25" borderId="0" xfId="0" applyFont="1" applyFill="1"/>
    <xf numFmtId="0" fontId="10" fillId="0" borderId="0" xfId="0" applyFont="1" applyAlignment="1">
      <alignment horizontal="center" vertical="top"/>
    </xf>
    <xf numFmtId="4" fontId="0" fillId="25" borderId="13" xfId="0" applyNumberFormat="1" applyFill="1" applyBorder="1"/>
    <xf numFmtId="4" fontId="0" fillId="25" borderId="0" xfId="0" applyNumberFormat="1" applyFill="1"/>
    <xf numFmtId="4" fontId="0" fillId="25" borderId="13" xfId="0" applyNumberFormat="1" applyFill="1" applyBorder="1" applyAlignment="1">
      <alignment horizontal="center" vertical="center"/>
    </xf>
    <xf numFmtId="4" fontId="0" fillId="0" borderId="12" xfId="0" applyNumberFormat="1" applyBorder="1" applyAlignment="1">
      <alignment horizontal="right" vertical="top"/>
    </xf>
    <xf numFmtId="0" fontId="0" fillId="0" borderId="17" xfId="0" applyBorder="1" applyAlignment="1">
      <alignment horizontal="right" vertical="top"/>
    </xf>
    <xf numFmtId="0" fontId="0" fillId="0" borderId="17" xfId="0" applyBorder="1" applyAlignment="1">
      <alignment vertical="top" wrapText="1"/>
    </xf>
    <xf numFmtId="0" fontId="0" fillId="25" borderId="16" xfId="0" applyFill="1" applyBorder="1" applyAlignment="1">
      <alignment horizontal="left" vertical="center"/>
    </xf>
    <xf numFmtId="0" fontId="8" fillId="25" borderId="16" xfId="0" applyFont="1" applyFill="1" applyBorder="1" applyAlignment="1">
      <alignment horizontal="right"/>
    </xf>
    <xf numFmtId="0" fontId="0" fillId="0" borderId="0" xfId="0" applyAlignment="1">
      <alignment horizontal="justify" vertical="justify" wrapText="1"/>
    </xf>
    <xf numFmtId="2" fontId="0" fillId="0" borderId="0" xfId="0" applyNumberFormat="1"/>
    <xf numFmtId="0" fontId="11" fillId="0" borderId="0" xfId="0" applyFont="1" applyAlignment="1">
      <alignment vertical="top" wrapText="1"/>
    </xf>
    <xf numFmtId="2" fontId="10" fillId="0" borderId="0" xfId="0" applyNumberFormat="1" applyFont="1" applyAlignment="1">
      <alignment horizontal="right"/>
    </xf>
    <xf numFmtId="4" fontId="10" fillId="0" borderId="0" xfId="0" applyNumberFormat="1" applyFont="1"/>
    <xf numFmtId="4" fontId="10" fillId="0" borderId="0" xfId="0" applyNumberFormat="1" applyFont="1" applyAlignment="1">
      <alignment horizontal="right"/>
    </xf>
    <xf numFmtId="4" fontId="8" fillId="0" borderId="0" xfId="0" applyNumberFormat="1" applyFont="1" applyAlignment="1">
      <alignment horizontal="left" vertical="top"/>
    </xf>
    <xf numFmtId="0" fontId="0" fillId="0" borderId="12" xfId="0" applyBorder="1" applyAlignment="1">
      <alignment vertical="top"/>
    </xf>
    <xf numFmtId="4" fontId="11" fillId="0" borderId="0" xfId="0" applyNumberFormat="1" applyFont="1" applyAlignment="1">
      <alignment wrapText="1"/>
    </xf>
    <xf numFmtId="0" fontId="11" fillId="0" borderId="0" xfId="0" applyFont="1" applyAlignment="1">
      <alignment wrapText="1"/>
    </xf>
    <xf numFmtId="0" fontId="0" fillId="0" borderId="0" xfId="0" applyAlignment="1">
      <alignment horizontal="right" wrapText="1"/>
    </xf>
    <xf numFmtId="4" fontId="0" fillId="25" borderId="15" xfId="0" applyNumberFormat="1" applyFill="1" applyBorder="1" applyAlignment="1">
      <alignment horizontal="center" vertical="center"/>
    </xf>
    <xf numFmtId="0" fontId="7" fillId="25" borderId="16" xfId="0" applyFont="1" applyFill="1" applyBorder="1" applyAlignment="1">
      <alignment horizontal="right" vertical="top"/>
    </xf>
    <xf numFmtId="2" fontId="8" fillId="0" borderId="14" xfId="0" applyNumberFormat="1" applyFont="1" applyBorder="1" applyAlignment="1">
      <alignment horizontal="right" vertical="top"/>
    </xf>
    <xf numFmtId="2" fontId="8" fillId="0" borderId="0" xfId="0" applyNumberFormat="1" applyFont="1" applyAlignment="1">
      <alignment horizontal="right"/>
    </xf>
    <xf numFmtId="0" fontId="13" fillId="0" borderId="0" xfId="0" applyFont="1"/>
    <xf numFmtId="0" fontId="14" fillId="0" borderId="0" xfId="0" applyFont="1"/>
    <xf numFmtId="4" fontId="13" fillId="0" borderId="0" xfId="0" applyNumberFormat="1" applyFont="1"/>
    <xf numFmtId="0" fontId="13" fillId="0" borderId="14" xfId="0" applyFont="1" applyBorder="1"/>
    <xf numFmtId="0" fontId="12" fillId="0" borderId="0" xfId="0" applyFont="1"/>
    <xf numFmtId="0" fontId="12" fillId="0" borderId="0" xfId="0" applyFont="1" applyAlignment="1">
      <alignment horizontal="right" vertical="center"/>
    </xf>
    <xf numFmtId="0" fontId="17" fillId="0" borderId="0" xfId="0" applyFont="1"/>
    <xf numFmtId="0" fontId="18" fillId="0" borderId="0" xfId="0" applyFont="1"/>
    <xf numFmtId="4" fontId="18" fillId="0" borderId="0" xfId="0" applyNumberFormat="1" applyFont="1"/>
    <xf numFmtId="0" fontId="17" fillId="0" borderId="0" xfId="0" applyFont="1" applyAlignment="1">
      <alignment horizontal="right"/>
    </xf>
    <xf numFmtId="0" fontId="17" fillId="0" borderId="0" xfId="0" applyFont="1" applyAlignment="1">
      <alignment horizontal="right" vertical="center"/>
    </xf>
    <xf numFmtId="0" fontId="17" fillId="0" borderId="14" xfId="0" applyFont="1" applyBorder="1" applyAlignment="1">
      <alignment horizontal="right" vertical="center"/>
    </xf>
    <xf numFmtId="0" fontId="16" fillId="0" borderId="14" xfId="0" applyFont="1" applyBorder="1" applyAlignment="1">
      <alignment vertical="top"/>
    </xf>
    <xf numFmtId="0" fontId="18" fillId="0" borderId="14" xfId="0" applyFont="1" applyBorder="1"/>
    <xf numFmtId="4" fontId="18" fillId="0" borderId="14" xfId="0" applyNumberFormat="1" applyFont="1" applyBorder="1"/>
    <xf numFmtId="0" fontId="10" fillId="0" borderId="0" xfId="160" applyFont="1"/>
    <xf numFmtId="0" fontId="7" fillId="0" borderId="0" xfId="160" applyFont="1"/>
    <xf numFmtId="0" fontId="52" fillId="0" borderId="0" xfId="164" applyFont="1"/>
    <xf numFmtId="0" fontId="20" fillId="0" borderId="0" xfId="164"/>
    <xf numFmtId="0" fontId="0" fillId="0" borderId="0" xfId="164" applyFont="1" applyAlignment="1">
      <alignment horizontal="center"/>
    </xf>
    <xf numFmtId="0" fontId="0" fillId="0" borderId="0" xfId="164" applyFont="1"/>
    <xf numFmtId="0" fontId="55" fillId="0" borderId="0" xfId="0" applyFont="1" applyAlignment="1">
      <alignment vertical="top" wrapText="1"/>
    </xf>
    <xf numFmtId="174" fontId="55" fillId="0" borderId="0" xfId="0" applyNumberFormat="1" applyFont="1" applyAlignment="1">
      <alignment vertical="top" wrapText="1"/>
    </xf>
    <xf numFmtId="0" fontId="56" fillId="0" borderId="0" xfId="0" applyFont="1" applyAlignment="1">
      <alignment horizontal="center" vertical="top" wrapText="1"/>
    </xf>
    <xf numFmtId="4" fontId="56" fillId="0" borderId="0" xfId="233" applyNumberFormat="1" applyFont="1" applyAlignment="1" applyProtection="1">
      <alignment vertical="top"/>
      <protection locked="0"/>
    </xf>
    <xf numFmtId="174" fontId="56" fillId="0" borderId="0" xfId="231" applyNumberFormat="1" applyFont="1" applyAlignment="1" applyProtection="1">
      <alignment vertical="top"/>
      <protection locked="0"/>
    </xf>
    <xf numFmtId="174" fontId="56" fillId="0" borderId="0" xfId="0" applyNumberFormat="1" applyFont="1" applyAlignment="1" applyProtection="1">
      <alignment vertical="top"/>
      <protection locked="0"/>
    </xf>
    <xf numFmtId="0" fontId="56" fillId="0" borderId="0" xfId="0" applyFont="1" applyProtection="1">
      <protection locked="0"/>
    </xf>
    <xf numFmtId="0" fontId="56" fillId="0" borderId="0" xfId="0" applyFont="1"/>
    <xf numFmtId="0" fontId="57" fillId="0" borderId="0" xfId="0" applyFont="1" applyAlignment="1">
      <alignment horizontal="center" vertical="top" wrapText="1"/>
    </xf>
    <xf numFmtId="4" fontId="57" fillId="0" borderId="0" xfId="233" applyNumberFormat="1" applyFont="1" applyAlignment="1" applyProtection="1">
      <alignment vertical="top"/>
      <protection locked="0"/>
    </xf>
    <xf numFmtId="174" fontId="57" fillId="0" borderId="0" xfId="231" applyNumberFormat="1" applyFont="1" applyAlignment="1" applyProtection="1">
      <alignment vertical="top"/>
      <protection locked="0"/>
    </xf>
    <xf numFmtId="174" fontId="57" fillId="0" borderId="0" xfId="0" applyNumberFormat="1" applyFont="1" applyAlignment="1" applyProtection="1">
      <alignment vertical="top"/>
      <protection locked="0"/>
    </xf>
    <xf numFmtId="0" fontId="57" fillId="0" borderId="0" xfId="0" applyFont="1" applyProtection="1">
      <protection locked="0"/>
    </xf>
    <xf numFmtId="0" fontId="57" fillId="0" borderId="0" xfId="0" applyFont="1"/>
    <xf numFmtId="4" fontId="57" fillId="0" borderId="0" xfId="233" applyNumberFormat="1" applyFont="1" applyAlignment="1" applyProtection="1">
      <alignment horizontal="right" vertical="top"/>
      <protection locked="0"/>
    </xf>
    <xf numFmtId="0" fontId="58" fillId="0" borderId="0" xfId="0" applyFont="1" applyAlignment="1">
      <alignment horizontal="center" vertical="top" wrapText="1"/>
    </xf>
    <xf numFmtId="4" fontId="58" fillId="0" borderId="0" xfId="233" applyNumberFormat="1" applyFont="1" applyAlignment="1" applyProtection="1">
      <alignment horizontal="right" vertical="top"/>
      <protection locked="0"/>
    </xf>
    <xf numFmtId="4" fontId="58" fillId="0" borderId="0" xfId="233" applyNumberFormat="1" applyFont="1" applyAlignment="1" applyProtection="1">
      <alignment vertical="top"/>
      <protection locked="0"/>
    </xf>
    <xf numFmtId="174" fontId="58" fillId="0" borderId="0" xfId="231" applyNumberFormat="1" applyFont="1" applyAlignment="1" applyProtection="1">
      <alignment vertical="top"/>
      <protection locked="0"/>
    </xf>
    <xf numFmtId="174" fontId="58" fillId="0" borderId="0" xfId="0" applyNumberFormat="1" applyFont="1" applyAlignment="1" applyProtection="1">
      <alignment vertical="top"/>
      <protection locked="0"/>
    </xf>
    <xf numFmtId="0" fontId="58" fillId="0" borderId="0" xfId="0" applyFont="1" applyProtection="1">
      <protection locked="0"/>
    </xf>
    <xf numFmtId="0" fontId="58" fillId="0" borderId="0" xfId="0" applyFont="1"/>
    <xf numFmtId="0" fontId="59" fillId="0" borderId="0" xfId="0" applyFont="1" applyAlignment="1" applyProtection="1">
      <alignment horizontal="right" vertical="top" wrapText="1"/>
      <protection locked="0"/>
    </xf>
    <xf numFmtId="0" fontId="60" fillId="0" borderId="0" xfId="0" applyFont="1"/>
    <xf numFmtId="4" fontId="75" fillId="0" borderId="0" xfId="0" applyNumberFormat="1" applyFont="1" applyAlignment="1">
      <alignment horizontal="right"/>
    </xf>
    <xf numFmtId="0" fontId="78" fillId="0" borderId="0" xfId="0" applyFont="1"/>
    <xf numFmtId="0" fontId="79" fillId="0" borderId="0" xfId="0" applyFont="1" applyAlignment="1">
      <alignment horizontal="right"/>
    </xf>
    <xf numFmtId="4" fontId="79" fillId="0" borderId="0" xfId="0" applyNumberFormat="1" applyFont="1" applyAlignment="1">
      <alignment horizontal="right"/>
    </xf>
    <xf numFmtId="0" fontId="79" fillId="0" borderId="0" xfId="0" applyFont="1"/>
    <xf numFmtId="0" fontId="79" fillId="0" borderId="12" xfId="0" applyFont="1" applyBorder="1" applyAlignment="1">
      <alignment horizontal="right"/>
    </xf>
    <xf numFmtId="0" fontId="80" fillId="0" borderId="16" xfId="0" applyFont="1" applyBorder="1"/>
    <xf numFmtId="0" fontId="80" fillId="0" borderId="13" xfId="0" applyFont="1" applyBorder="1"/>
    <xf numFmtId="0" fontId="79" fillId="0" borderId="13" xfId="0" applyFont="1" applyBorder="1" applyAlignment="1">
      <alignment horizontal="right"/>
    </xf>
    <xf numFmtId="4" fontId="79" fillId="0" borderId="13" xfId="0" applyNumberFormat="1" applyFont="1" applyBorder="1" applyAlignment="1">
      <alignment horizontal="right"/>
    </xf>
    <xf numFmtId="0" fontId="80" fillId="0" borderId="14" xfId="0" applyFont="1" applyBorder="1"/>
    <xf numFmtId="0" fontId="79" fillId="0" borderId="14" xfId="0" applyFont="1" applyBorder="1" applyAlignment="1">
      <alignment horizontal="right"/>
    </xf>
    <xf numFmtId="4" fontId="79" fillId="0" borderId="14" xfId="0" applyNumberFormat="1" applyFont="1" applyBorder="1" applyAlignment="1">
      <alignment horizontal="right"/>
    </xf>
    <xf numFmtId="0" fontId="79" fillId="0" borderId="16" xfId="0" applyFont="1" applyBorder="1" applyAlignment="1">
      <alignment vertical="center"/>
    </xf>
    <xf numFmtId="0" fontId="79" fillId="0" borderId="13" xfId="0" applyFont="1" applyBorder="1" applyAlignment="1">
      <alignment horizontal="left" vertical="center" wrapText="1"/>
    </xf>
    <xf numFmtId="0" fontId="79" fillId="0" borderId="13" xfId="0" applyFont="1" applyBorder="1" applyAlignment="1">
      <alignment horizontal="right" wrapText="1"/>
    </xf>
    <xf numFmtId="0" fontId="79" fillId="0" borderId="12" xfId="0" applyFont="1" applyBorder="1" applyAlignment="1">
      <alignment horizontal="right" wrapText="1"/>
    </xf>
    <xf numFmtId="0" fontId="79" fillId="0" borderId="0" xfId="0" applyFont="1" applyAlignment="1">
      <alignment vertical="top"/>
    </xf>
    <xf numFmtId="0" fontId="81" fillId="0" borderId="0" xfId="0" applyFont="1" applyAlignment="1">
      <alignment horizontal="left" vertical="top" wrapText="1"/>
    </xf>
    <xf numFmtId="0" fontId="79" fillId="0" borderId="0" xfId="0" applyFont="1" applyAlignment="1">
      <alignment horizontal="left" wrapText="1"/>
    </xf>
    <xf numFmtId="0" fontId="80" fillId="0" borderId="0" xfId="0" applyFont="1" applyAlignment="1">
      <alignment horizontal="justify" vertical="top" wrapText="1"/>
    </xf>
    <xf numFmtId="0" fontId="80" fillId="0" borderId="0" xfId="0" applyFont="1" applyAlignment="1">
      <alignment horizontal="right" wrapText="1"/>
    </xf>
    <xf numFmtId="0" fontId="79" fillId="0" borderId="0" xfId="0" applyFont="1" applyAlignment="1">
      <alignment horizontal="right" wrapText="1"/>
    </xf>
    <xf numFmtId="0" fontId="82" fillId="30" borderId="0" xfId="0" applyFont="1" applyFill="1" applyAlignment="1">
      <alignment horizontal="justify" vertical="top" wrapText="1"/>
    </xf>
    <xf numFmtId="4" fontId="79" fillId="0" borderId="0" xfId="0" applyNumberFormat="1" applyFont="1" applyAlignment="1">
      <alignment horizontal="right" wrapText="1"/>
    </xf>
    <xf numFmtId="0" fontId="80" fillId="0" borderId="0" xfId="274" applyFont="1" applyAlignment="1">
      <alignment vertical="top" wrapText="1"/>
    </xf>
    <xf numFmtId="0" fontId="79" fillId="0" borderId="0" xfId="0" applyFont="1" applyAlignment="1">
      <alignment horizontal="justify" vertical="top" wrapText="1"/>
    </xf>
    <xf numFmtId="0" fontId="85" fillId="0" borderId="0" xfId="0" applyFont="1" applyAlignment="1">
      <alignment horizontal="right" wrapText="1"/>
    </xf>
    <xf numFmtId="4" fontId="85" fillId="0" borderId="0" xfId="0" applyNumberFormat="1" applyFont="1" applyAlignment="1">
      <alignment horizontal="right" wrapText="1"/>
    </xf>
    <xf numFmtId="0" fontId="79" fillId="0" borderId="0" xfId="0" applyFont="1" applyAlignment="1">
      <alignment horizontal="left" vertical="top" wrapText="1" indent="1"/>
    </xf>
    <xf numFmtId="0" fontId="79" fillId="0" borderId="0" xfId="274" applyFont="1" applyAlignment="1">
      <alignment vertical="top" wrapText="1"/>
    </xf>
    <xf numFmtId="0" fontId="80" fillId="0" borderId="0" xfId="0" applyFont="1" applyAlignment="1">
      <alignment vertical="top" wrapText="1"/>
    </xf>
    <xf numFmtId="0" fontId="79" fillId="0" borderId="0" xfId="164" applyFont="1" applyAlignment="1">
      <alignment vertical="top"/>
    </xf>
    <xf numFmtId="4" fontId="79" fillId="0" borderId="0" xfId="164" applyNumberFormat="1" applyFont="1" applyAlignment="1">
      <alignment horizontal="right"/>
    </xf>
    <xf numFmtId="0" fontId="79" fillId="0" borderId="0" xfId="164" applyFont="1" applyAlignment="1">
      <alignment vertical="top" wrapText="1"/>
    </xf>
    <xf numFmtId="0" fontId="79" fillId="0" borderId="0" xfId="164" applyFont="1" applyAlignment="1">
      <alignment horizontal="right"/>
    </xf>
    <xf numFmtId="0" fontId="79" fillId="0" borderId="0" xfId="161" applyFont="1" applyAlignment="1">
      <alignment horizontal="right"/>
    </xf>
    <xf numFmtId="4" fontId="79" fillId="0" borderId="0" xfId="161" applyNumberFormat="1" applyFont="1" applyAlignment="1">
      <alignment horizontal="right"/>
    </xf>
    <xf numFmtId="49" fontId="80" fillId="0" borderId="0" xfId="162" applyNumberFormat="1" applyFont="1" applyAlignment="1">
      <alignment horizontal="justify" vertical="top" wrapText="1"/>
    </xf>
    <xf numFmtId="16" fontId="79" fillId="0" borderId="0" xfId="0" applyNumberFormat="1" applyFont="1" applyAlignment="1">
      <alignment vertical="top"/>
    </xf>
    <xf numFmtId="0" fontId="79" fillId="0" borderId="0" xfId="274" applyFont="1" applyAlignment="1">
      <alignment horizontal="left" vertical="top" wrapText="1"/>
    </xf>
    <xf numFmtId="0" fontId="80" fillId="0" borderId="0" xfId="159" applyFont="1" applyAlignment="1">
      <alignment horizontal="justify" vertical="top" wrapText="1"/>
    </xf>
    <xf numFmtId="0" fontId="82" fillId="30" borderId="0" xfId="159" applyFont="1" applyFill="1" applyAlignment="1">
      <alignment horizontal="justify" vertical="top" wrapText="1"/>
    </xf>
    <xf numFmtId="0" fontId="80" fillId="0" borderId="0" xfId="159" applyFont="1" applyAlignment="1">
      <alignment horizontal="left" vertical="top" wrapText="1"/>
    </xf>
    <xf numFmtId="0" fontId="80" fillId="0" borderId="24" xfId="159" applyFont="1" applyBorder="1" applyAlignment="1">
      <alignment horizontal="left" vertical="top" wrapText="1"/>
    </xf>
    <xf numFmtId="0" fontId="79" fillId="0" borderId="0" xfId="159" applyFont="1" applyAlignment="1">
      <alignment horizontal="justify" vertical="top" wrapText="1"/>
    </xf>
    <xf numFmtId="0" fontId="79" fillId="0" borderId="12" xfId="0" applyFont="1" applyBorder="1" applyAlignment="1">
      <alignment vertical="top"/>
    </xf>
    <xf numFmtId="0" fontId="79" fillId="0" borderId="12" xfId="0" applyFont="1" applyBorder="1" applyAlignment="1">
      <alignment vertical="top" wrapText="1"/>
    </xf>
    <xf numFmtId="4" fontId="79" fillId="0" borderId="12" xfId="0" applyNumberFormat="1" applyFont="1" applyBorder="1" applyAlignment="1">
      <alignment horizontal="right"/>
    </xf>
    <xf numFmtId="0" fontId="80" fillId="0" borderId="0" xfId="0" applyFont="1" applyAlignment="1">
      <alignment vertical="top"/>
    </xf>
    <xf numFmtId="0" fontId="86" fillId="0" borderId="0" xfId="0" applyFont="1"/>
    <xf numFmtId="0" fontId="81" fillId="0" borderId="0" xfId="0" applyFont="1"/>
    <xf numFmtId="0" fontId="80" fillId="0" borderId="16" xfId="0" applyFont="1" applyBorder="1" applyAlignment="1">
      <alignment horizontal="left"/>
    </xf>
    <xf numFmtId="0" fontId="80" fillId="0" borderId="13" xfId="0" applyFont="1" applyBorder="1" applyAlignment="1">
      <alignment wrapText="1"/>
    </xf>
    <xf numFmtId="0" fontId="79" fillId="0" borderId="13" xfId="0" applyFont="1" applyBorder="1"/>
    <xf numFmtId="4" fontId="79" fillId="0" borderId="13" xfId="0" applyNumberFormat="1" applyFont="1" applyBorder="1"/>
    <xf numFmtId="0" fontId="79" fillId="0" borderId="12" xfId="0" applyFont="1" applyBorder="1"/>
    <xf numFmtId="0" fontId="80" fillId="0" borderId="14" xfId="0" applyFont="1" applyBorder="1" applyAlignment="1">
      <alignment horizontal="left"/>
    </xf>
    <xf numFmtId="0" fontId="80" fillId="0" borderId="14" xfId="0" applyFont="1" applyBorder="1" applyAlignment="1">
      <alignment wrapText="1"/>
    </xf>
    <xf numFmtId="0" fontId="79" fillId="0" borderId="14" xfId="0" applyFont="1" applyBorder="1"/>
    <xf numFmtId="4" fontId="79" fillId="0" borderId="14" xfId="0" applyNumberFormat="1" applyFont="1" applyBorder="1"/>
    <xf numFmtId="0" fontId="79" fillId="0" borderId="16" xfId="0" applyFont="1" applyBorder="1" applyAlignment="1">
      <alignment horizontal="left" vertical="center"/>
    </xf>
    <xf numFmtId="0" fontId="79" fillId="0" borderId="13" xfId="0" applyFont="1" applyBorder="1" applyAlignment="1">
      <alignment horizontal="center" vertical="center" wrapText="1"/>
    </xf>
    <xf numFmtId="4" fontId="79" fillId="0" borderId="13" xfId="0" applyNumberFormat="1" applyFont="1" applyBorder="1" applyAlignment="1">
      <alignment horizontal="center" vertical="center"/>
    </xf>
    <xf numFmtId="0" fontId="79" fillId="0" borderId="0" xfId="0" applyFont="1" applyAlignment="1">
      <alignment horizontal="left" vertical="top"/>
    </xf>
    <xf numFmtId="4" fontId="79" fillId="0" borderId="0" xfId="0" applyNumberFormat="1" applyFont="1" applyAlignment="1">
      <alignment horizontal="right" vertical="top"/>
    </xf>
    <xf numFmtId="0" fontId="79" fillId="0" borderId="0" xfId="165" applyFont="1" applyAlignment="1" applyProtection="1">
      <alignment horizontal="justify" vertical="top" wrapText="1"/>
      <protection hidden="1"/>
    </xf>
    <xf numFmtId="0" fontId="81" fillId="0" borderId="0" xfId="0" applyFont="1" applyAlignment="1">
      <alignment horizontal="justify" vertical="top" wrapText="1"/>
    </xf>
    <xf numFmtId="4" fontId="83" fillId="0" borderId="0" xfId="0" applyNumberFormat="1" applyFont="1" applyAlignment="1">
      <alignment horizontal="right"/>
    </xf>
    <xf numFmtId="4" fontId="79" fillId="0" borderId="0" xfId="0" applyNumberFormat="1" applyFont="1"/>
    <xf numFmtId="4" fontId="87" fillId="0" borderId="0" xfId="0" applyNumberFormat="1" applyFont="1" applyAlignment="1">
      <alignment horizontal="right"/>
    </xf>
    <xf numFmtId="4" fontId="79" fillId="0" borderId="0" xfId="0" applyNumberFormat="1" applyFont="1" applyAlignment="1">
      <alignment vertical="top"/>
    </xf>
    <xf numFmtId="0" fontId="83" fillId="0" borderId="0" xfId="274" applyFont="1" applyAlignment="1">
      <alignment horizontal="left" vertical="top" wrapText="1"/>
    </xf>
    <xf numFmtId="0" fontId="83" fillId="0" borderId="0" xfId="274" applyFont="1" applyAlignment="1">
      <alignment horizontal="left" vertical="top" wrapText="1" indent="2"/>
    </xf>
    <xf numFmtId="0" fontId="83" fillId="0" borderId="0" xfId="0" applyFont="1" applyAlignment="1">
      <alignment horizontal="center"/>
    </xf>
    <xf numFmtId="4" fontId="79" fillId="0" borderId="12" xfId="0" applyNumberFormat="1" applyFont="1" applyBorder="1"/>
    <xf numFmtId="0" fontId="79" fillId="0" borderId="0" xfId="0" applyFont="1" applyAlignment="1">
      <alignment horizontal="left"/>
    </xf>
    <xf numFmtId="0" fontId="86" fillId="0" borderId="0" xfId="0" applyFont="1" applyAlignment="1">
      <alignment wrapText="1"/>
    </xf>
    <xf numFmtId="0" fontId="81" fillId="0" borderId="0" xfId="0" applyFont="1" applyAlignment="1">
      <alignment wrapText="1"/>
    </xf>
    <xf numFmtId="0" fontId="79" fillId="0" borderId="0" xfId="0" applyFont="1" applyAlignment="1">
      <alignment wrapText="1"/>
    </xf>
    <xf numFmtId="0" fontId="80" fillId="0" borderId="24" xfId="0" applyFont="1" applyBorder="1" applyAlignment="1">
      <alignment horizontal="left" vertical="top" wrapText="1"/>
    </xf>
    <xf numFmtId="0" fontId="91" fillId="0" borderId="0" xfId="0" applyFont="1" applyAlignment="1">
      <alignment horizontal="left" vertical="top" wrapText="1"/>
    </xf>
    <xf numFmtId="0" fontId="91" fillId="0" borderId="0" xfId="0" applyFont="1" applyAlignment="1">
      <alignment horizontal="left" vertical="top" wrapText="1" indent="2"/>
    </xf>
    <xf numFmtId="0" fontId="91" fillId="0" borderId="0" xfId="274" applyFont="1" applyAlignment="1">
      <alignment horizontal="left" vertical="top" wrapText="1" indent="2"/>
    </xf>
    <xf numFmtId="4" fontId="90" fillId="0" borderId="0" xfId="0" applyNumberFormat="1" applyFont="1" applyAlignment="1">
      <alignment horizontal="right"/>
    </xf>
    <xf numFmtId="49" fontId="80" fillId="0" borderId="16" xfId="0" applyNumberFormat="1" applyFont="1" applyBorder="1" applyAlignment="1">
      <alignment horizontal="left" vertical="top"/>
    </xf>
    <xf numFmtId="0" fontId="80" fillId="0" borderId="13" xfId="0" applyFont="1" applyBorder="1" applyAlignment="1">
      <alignment vertical="top" wrapText="1"/>
    </xf>
    <xf numFmtId="49" fontId="80" fillId="0" borderId="14" xfId="0" applyNumberFormat="1" applyFont="1" applyBorder="1" applyAlignment="1">
      <alignment horizontal="left" vertical="top"/>
    </xf>
    <xf numFmtId="0" fontId="80" fillId="0" borderId="14" xfId="0" applyFont="1" applyBorder="1" applyAlignment="1">
      <alignment vertical="top" wrapText="1"/>
    </xf>
    <xf numFmtId="49" fontId="79" fillId="0" borderId="16" xfId="0" applyNumberFormat="1" applyFont="1" applyBorder="1" applyAlignment="1">
      <alignment horizontal="left" vertical="top"/>
    </xf>
    <xf numFmtId="0" fontId="79" fillId="0" borderId="13" xfId="0" applyFont="1" applyBorder="1" applyAlignment="1">
      <alignment vertical="top" wrapText="1"/>
    </xf>
    <xf numFmtId="0" fontId="79" fillId="0" borderId="13" xfId="0" applyFont="1" applyBorder="1" applyAlignment="1">
      <alignment horizontal="center" wrapText="1"/>
    </xf>
    <xf numFmtId="4" fontId="79" fillId="0" borderId="12" xfId="0" applyNumberFormat="1" applyFont="1" applyBorder="1" applyAlignment="1">
      <alignment horizontal="right" wrapText="1"/>
    </xf>
    <xf numFmtId="49" fontId="79" fillId="0" borderId="0" xfId="0" applyNumberFormat="1" applyFont="1" applyAlignment="1">
      <alignment horizontal="left" vertical="top"/>
    </xf>
    <xf numFmtId="0" fontId="79" fillId="0" borderId="0" xfId="0" applyFont="1" applyAlignment="1">
      <alignment horizontal="center" wrapText="1"/>
    </xf>
    <xf numFmtId="4" fontId="79" fillId="0" borderId="0" xfId="0" applyNumberFormat="1" applyFont="1" applyAlignment="1">
      <alignment horizontal="left" wrapText="1"/>
    </xf>
    <xf numFmtId="0" fontId="83" fillId="0" borderId="0" xfId="0" applyFont="1" applyAlignment="1">
      <alignment vertical="top" wrapText="1"/>
    </xf>
    <xf numFmtId="0" fontId="79" fillId="0" borderId="0" xfId="0" applyFont="1" applyAlignment="1">
      <alignment horizontal="left" vertical="top" wrapText="1" indent="2"/>
    </xf>
    <xf numFmtId="49" fontId="83" fillId="0" borderId="0" xfId="0" applyNumberFormat="1" applyFont="1" applyAlignment="1">
      <alignment vertical="top"/>
    </xf>
    <xf numFmtId="4" fontId="83" fillId="0" borderId="0" xfId="0" applyNumberFormat="1" applyFont="1"/>
    <xf numFmtId="0" fontId="79" fillId="0" borderId="0" xfId="0" applyFont="1" applyAlignment="1">
      <alignment horizontal="right" vertical="top"/>
    </xf>
    <xf numFmtId="0" fontId="79" fillId="0" borderId="0" xfId="163" applyFont="1" applyAlignment="1">
      <alignment horizontal="justify" vertical="top" wrapText="1"/>
    </xf>
    <xf numFmtId="4" fontId="79" fillId="0" borderId="0" xfId="163" applyNumberFormat="1" applyFont="1" applyAlignment="1">
      <alignment horizontal="right"/>
    </xf>
    <xf numFmtId="175" fontId="79" fillId="0" borderId="0" xfId="0" applyNumberFormat="1" applyFont="1" applyAlignment="1">
      <alignment horizontal="right"/>
    </xf>
    <xf numFmtId="16" fontId="79" fillId="0" borderId="0" xfId="0" applyNumberFormat="1" applyFont="1" applyAlignment="1">
      <alignment horizontal="right" vertical="top"/>
    </xf>
    <xf numFmtId="0" fontId="79" fillId="0" borderId="0" xfId="163" applyFont="1" applyAlignment="1">
      <alignment horizontal="left" vertical="top" wrapText="1" indent="2"/>
    </xf>
    <xf numFmtId="0" fontId="83" fillId="0" borderId="0" xfId="0" applyFont="1" applyAlignment="1">
      <alignment horizontal="left" vertical="top" wrapText="1" indent="2"/>
    </xf>
    <xf numFmtId="49" fontId="79" fillId="0" borderId="12" xfId="0" applyNumberFormat="1" applyFont="1" applyBorder="1" applyAlignment="1">
      <alignment horizontal="left" vertical="top"/>
    </xf>
    <xf numFmtId="0" fontId="79" fillId="0" borderId="12" xfId="0" applyFont="1" applyBorder="1" applyAlignment="1">
      <alignment horizontal="left"/>
    </xf>
    <xf numFmtId="0" fontId="79" fillId="0" borderId="0" xfId="0" applyFont="1" applyAlignment="1" applyProtection="1">
      <alignment vertical="top" wrapText="1"/>
      <protection locked="0"/>
    </xf>
    <xf numFmtId="0" fontId="79" fillId="0" borderId="0" xfId="160" quotePrefix="1" applyFont="1" applyAlignment="1">
      <alignment vertical="top"/>
    </xf>
    <xf numFmtId="0" fontId="80" fillId="0" borderId="0" xfId="160" applyFont="1"/>
    <xf numFmtId="0" fontId="79" fillId="0" borderId="0" xfId="160" quotePrefix="1" applyFont="1" applyAlignment="1">
      <alignment horizontal="left"/>
    </xf>
    <xf numFmtId="0" fontId="79" fillId="0" borderId="0" xfId="160" applyFont="1"/>
    <xf numFmtId="0" fontId="79" fillId="0" borderId="0" xfId="160" applyFont="1" applyAlignment="1">
      <alignment horizontal="right"/>
    </xf>
    <xf numFmtId="4" fontId="79" fillId="0" borderId="0" xfId="160" applyNumberFormat="1" applyFont="1" applyAlignment="1">
      <alignment horizontal="right"/>
    </xf>
    <xf numFmtId="0" fontId="92" fillId="0" borderId="0" xfId="160" applyFont="1"/>
    <xf numFmtId="17" fontId="79" fillId="0" borderId="0" xfId="160" applyNumberFormat="1" applyFont="1"/>
    <xf numFmtId="0" fontId="80" fillId="0" borderId="0" xfId="160" applyFont="1" applyAlignment="1">
      <alignment horizontal="right"/>
    </xf>
    <xf numFmtId="4" fontId="80" fillId="0" borderId="0" xfId="160" applyNumberFormat="1" applyFont="1" applyAlignment="1">
      <alignment horizontal="right"/>
    </xf>
    <xf numFmtId="0" fontId="80" fillId="0" borderId="0" xfId="160" applyFont="1" applyAlignment="1">
      <alignment horizontal="left" vertical="top" wrapText="1"/>
    </xf>
    <xf numFmtId="0" fontId="84" fillId="0" borderId="0" xfId="0" applyFont="1" applyAlignment="1">
      <alignment vertical="top"/>
    </xf>
    <xf numFmtId="0" fontId="80" fillId="0" borderId="0" xfId="160" quotePrefix="1" applyFont="1" applyAlignment="1">
      <alignment horizontal="left"/>
    </xf>
    <xf numFmtId="0" fontId="80" fillId="0" borderId="0" xfId="160" applyFont="1" applyAlignment="1">
      <alignment horizontal="left"/>
    </xf>
    <xf numFmtId="0" fontId="84" fillId="0" borderId="18" xfId="0" applyFont="1" applyBorder="1" applyAlignment="1">
      <alignment vertical="top" wrapText="1"/>
    </xf>
    <xf numFmtId="0" fontId="84" fillId="0" borderId="14" xfId="0" applyFont="1" applyBorder="1" applyAlignment="1">
      <alignment vertical="top"/>
    </xf>
    <xf numFmtId="0" fontId="84" fillId="0" borderId="0" xfId="0" applyFont="1" applyAlignment="1">
      <alignment horizontal="left" vertical="top" wrapText="1"/>
    </xf>
    <xf numFmtId="4" fontId="79" fillId="0" borderId="13" xfId="0" applyNumberFormat="1" applyFont="1" applyBorder="1" applyAlignment="1">
      <alignment horizontal="center" vertical="center" wrapText="1"/>
    </xf>
    <xf numFmtId="4" fontId="79" fillId="0" borderId="0" xfId="0" applyNumberFormat="1" applyFont="1" applyAlignment="1">
      <alignment horizontal="left" vertical="top"/>
    </xf>
    <xf numFmtId="0" fontId="79" fillId="0" borderId="14" xfId="0" applyFont="1" applyBorder="1" applyAlignment="1">
      <alignment horizontal="left" vertical="top"/>
    </xf>
    <xf numFmtId="4" fontId="79" fillId="0" borderId="14" xfId="0" applyNumberFormat="1" applyFont="1" applyBorder="1" applyAlignment="1">
      <alignment horizontal="right" vertical="top"/>
    </xf>
    <xf numFmtId="4" fontId="83" fillId="0" borderId="0" xfId="0" applyNumberFormat="1" applyFont="1" applyAlignment="1">
      <alignment horizontal="left" vertical="top" wrapText="1"/>
    </xf>
    <xf numFmtId="0" fontId="79" fillId="0" borderId="0" xfId="0" applyFont="1" applyAlignment="1">
      <alignment horizontal="left" vertical="center" wrapText="1"/>
    </xf>
    <xf numFmtId="0" fontId="80" fillId="0" borderId="0" xfId="0" applyFont="1" applyAlignment="1">
      <alignment horizontal="left" vertical="center" wrapText="1"/>
    </xf>
    <xf numFmtId="0" fontId="80" fillId="0" borderId="14" xfId="0" applyFont="1" applyBorder="1" applyAlignment="1">
      <alignment vertical="top"/>
    </xf>
    <xf numFmtId="0" fontId="95" fillId="0" borderId="0" xfId="0" applyFont="1"/>
    <xf numFmtId="0" fontId="91" fillId="0" borderId="0" xfId="0" applyFont="1" applyAlignment="1">
      <alignment horizontal="left" vertical="center" wrapText="1" indent="1"/>
    </xf>
    <xf numFmtId="4" fontId="79" fillId="0" borderId="13" xfId="0" applyNumberFormat="1" applyFont="1" applyBorder="1" applyAlignment="1">
      <alignment vertical="top"/>
    </xf>
    <xf numFmtId="4" fontId="79" fillId="0" borderId="14" xfId="0" applyNumberFormat="1" applyFont="1" applyBorder="1" applyAlignment="1">
      <alignment vertical="top"/>
    </xf>
    <xf numFmtId="4" fontId="89" fillId="0" borderId="0" xfId="0" applyNumberFormat="1" applyFont="1" applyAlignment="1">
      <alignment vertical="top"/>
    </xf>
    <xf numFmtId="4" fontId="89" fillId="0" borderId="0" xfId="0" applyNumberFormat="1" applyFont="1" applyAlignment="1">
      <alignment horizontal="left" vertical="top"/>
    </xf>
    <xf numFmtId="4" fontId="83" fillId="0" borderId="0" xfId="0" applyNumberFormat="1" applyFont="1" applyAlignment="1">
      <alignment vertical="top"/>
    </xf>
    <xf numFmtId="4" fontId="83" fillId="0" borderId="0" xfId="0" applyNumberFormat="1" applyFont="1" applyAlignment="1">
      <alignment horizontal="left" vertical="top"/>
    </xf>
    <xf numFmtId="4" fontId="83" fillId="0" borderId="0" xfId="0" applyNumberFormat="1" applyFont="1" applyAlignment="1">
      <alignment vertical="top" wrapText="1"/>
    </xf>
    <xf numFmtId="4" fontId="91" fillId="0" borderId="0" xfId="0" applyNumberFormat="1" applyFont="1" applyAlignment="1">
      <alignment vertical="top"/>
    </xf>
    <xf numFmtId="4" fontId="90" fillId="0" borderId="0" xfId="0" applyNumberFormat="1" applyFont="1" applyAlignment="1">
      <alignment vertical="top"/>
    </xf>
    <xf numFmtId="0" fontId="94" fillId="0" borderId="13" xfId="0" applyFont="1" applyBorder="1" applyAlignment="1">
      <alignment horizontal="left" vertical="top"/>
    </xf>
    <xf numFmtId="0" fontId="79" fillId="0" borderId="13" xfId="0" applyFont="1" applyBorder="1" applyAlignment="1">
      <alignment horizontal="left" vertical="top" wrapText="1"/>
    </xf>
    <xf numFmtId="0" fontId="89" fillId="0" borderId="24" xfId="0" applyFont="1" applyBorder="1" applyAlignment="1">
      <alignment horizontal="left" vertical="top" wrapText="1"/>
    </xf>
    <xf numFmtId="49" fontId="79" fillId="0" borderId="16" xfId="0" applyNumberFormat="1" applyFont="1" applyBorder="1" applyAlignment="1">
      <alignment horizontal="left"/>
    </xf>
    <xf numFmtId="49" fontId="79" fillId="0" borderId="14" xfId="0" applyNumberFormat="1" applyFont="1" applyBorder="1" applyAlignment="1">
      <alignment horizontal="left"/>
    </xf>
    <xf numFmtId="49" fontId="79" fillId="0" borderId="16" xfId="0" applyNumberFormat="1" applyFont="1" applyBorder="1" applyAlignment="1">
      <alignment horizontal="left" vertical="center"/>
    </xf>
    <xf numFmtId="49" fontId="79" fillId="0" borderId="0" xfId="0" applyNumberFormat="1" applyFont="1" applyAlignment="1">
      <alignment horizontal="left" vertical="center"/>
    </xf>
    <xf numFmtId="0" fontId="79" fillId="0" borderId="0" xfId="0" applyFont="1" applyAlignment="1">
      <alignment horizontal="center" vertical="center" wrapText="1"/>
    </xf>
    <xf numFmtId="4" fontId="79" fillId="0" borderId="0" xfId="0" applyNumberFormat="1" applyFont="1" applyAlignment="1">
      <alignment horizontal="center" vertical="center"/>
    </xf>
    <xf numFmtId="0" fontId="79" fillId="0" borderId="0" xfId="0" applyFont="1" applyAlignment="1">
      <alignment horizontal="center"/>
    </xf>
    <xf numFmtId="0" fontId="79" fillId="0" borderId="0" xfId="0" applyFont="1" applyAlignment="1">
      <alignment horizontal="left" vertical="top" wrapText="1" indent="3"/>
    </xf>
    <xf numFmtId="0" fontId="89" fillId="0" borderId="0" xfId="0" applyFont="1" applyAlignment="1">
      <alignment vertical="top" wrapText="1"/>
    </xf>
    <xf numFmtId="49" fontId="79" fillId="0" borderId="14" xfId="0" applyNumberFormat="1" applyFont="1" applyBorder="1" applyAlignment="1">
      <alignment horizontal="left" vertical="top"/>
    </xf>
    <xf numFmtId="49" fontId="79" fillId="0" borderId="0" xfId="0" applyNumberFormat="1" applyFont="1" applyAlignment="1">
      <alignment horizontal="left"/>
    </xf>
    <xf numFmtId="0" fontId="87" fillId="0" borderId="0" xfId="0" applyFont="1" applyAlignment="1">
      <alignment horizontal="left" vertical="top" wrapText="1" indent="3"/>
    </xf>
    <xf numFmtId="0" fontId="80" fillId="0" borderId="0" xfId="0" applyFont="1" applyAlignment="1">
      <alignment horizontal="left" vertical="top" wrapText="1" indent="1"/>
    </xf>
    <xf numFmtId="4" fontId="79" fillId="0" borderId="12" xfId="0" applyNumberFormat="1" applyFont="1" applyBorder="1" applyAlignment="1">
      <alignment vertical="top"/>
    </xf>
    <xf numFmtId="4" fontId="79" fillId="0" borderId="12" xfId="0" applyNumberFormat="1" applyFont="1" applyBorder="1" applyAlignment="1">
      <alignment vertical="top" wrapText="1"/>
    </xf>
    <xf numFmtId="4" fontId="79" fillId="0" borderId="0" xfId="0" applyNumberFormat="1" applyFont="1" applyAlignment="1">
      <alignment vertical="top" wrapText="1"/>
    </xf>
    <xf numFmtId="0" fontId="83" fillId="0" borderId="0" xfId="0" applyFont="1"/>
    <xf numFmtId="0" fontId="91" fillId="0" borderId="0" xfId="0" applyFont="1" applyAlignment="1">
      <alignment horizontal="center"/>
    </xf>
    <xf numFmtId="4" fontId="91" fillId="0" borderId="0" xfId="0" applyNumberFormat="1" applyFont="1" applyAlignment="1">
      <alignment horizontal="right"/>
    </xf>
    <xf numFmtId="0" fontId="83" fillId="0" borderId="0" xfId="0" applyFont="1" applyAlignment="1">
      <alignment vertical="top"/>
    </xf>
    <xf numFmtId="0" fontId="90" fillId="0" borderId="0" xfId="0" applyFont="1" applyAlignment="1">
      <alignment horizontal="center"/>
    </xf>
    <xf numFmtId="0" fontId="91" fillId="0" borderId="0" xfId="0" applyFont="1" applyAlignment="1">
      <alignment horizontal="left" vertical="top" wrapText="1" indent="3"/>
    </xf>
    <xf numFmtId="4" fontId="79" fillId="0" borderId="0" xfId="0" applyNumberFormat="1" applyFont="1" applyAlignment="1">
      <alignment horizontal="left" vertical="top" wrapText="1"/>
    </xf>
    <xf numFmtId="174" fontId="79" fillId="0" borderId="0" xfId="160" applyNumberFormat="1" applyFont="1"/>
    <xf numFmtId="0" fontId="83" fillId="0" borderId="0" xfId="0" applyFont="1" applyAlignment="1">
      <alignment horizontal="center" vertical="top"/>
    </xf>
    <xf numFmtId="4" fontId="79" fillId="0" borderId="13" xfId="0" applyNumberFormat="1" applyFont="1" applyBorder="1" applyAlignment="1">
      <alignment horizontal="right" vertical="center"/>
    </xf>
    <xf numFmtId="4" fontId="79" fillId="0" borderId="0" xfId="165" applyNumberFormat="1" applyFont="1" applyAlignment="1" applyProtection="1">
      <alignment horizontal="right" vertical="top" wrapText="1"/>
      <protection hidden="1"/>
    </xf>
    <xf numFmtId="4" fontId="79" fillId="0" borderId="0" xfId="0" applyNumberFormat="1" applyFont="1" applyAlignment="1">
      <alignment horizontal="right" vertical="top" wrapText="1"/>
    </xf>
    <xf numFmtId="4" fontId="91" fillId="0" borderId="0" xfId="0" applyNumberFormat="1" applyFont="1" applyAlignment="1">
      <alignment horizontal="right" vertical="top" wrapText="1"/>
    </xf>
    <xf numFmtId="4" fontId="83" fillId="0" borderId="0" xfId="0" applyNumberFormat="1" applyFont="1" applyAlignment="1">
      <alignment horizontal="right" vertical="top" wrapText="1"/>
    </xf>
    <xf numFmtId="0" fontId="91" fillId="0" borderId="0" xfId="0" applyFont="1" applyAlignment="1">
      <alignment horizontal="center" wrapText="1"/>
    </xf>
    <xf numFmtId="4" fontId="83" fillId="0" borderId="0" xfId="0" applyNumberFormat="1" applyFont="1" applyAlignment="1">
      <alignment horizontal="right" vertical="top"/>
    </xf>
    <xf numFmtId="0" fontId="79" fillId="0" borderId="13" xfId="0" applyFont="1" applyBorder="1" applyAlignment="1">
      <alignment horizontal="right" vertical="top"/>
    </xf>
    <xf numFmtId="0" fontId="79" fillId="0" borderId="14" xfId="0" applyFont="1" applyBorder="1" applyAlignment="1">
      <alignment horizontal="right" vertical="top"/>
    </xf>
    <xf numFmtId="0" fontId="79" fillId="0" borderId="13" xfId="0" applyFont="1" applyBorder="1" applyAlignment="1">
      <alignment horizontal="right" vertical="top" wrapText="1"/>
    </xf>
    <xf numFmtId="0" fontId="79" fillId="0" borderId="0" xfId="165" applyFont="1" applyAlignment="1" applyProtection="1">
      <alignment horizontal="right" vertical="top" wrapText="1"/>
      <protection hidden="1"/>
    </xf>
    <xf numFmtId="0" fontId="79" fillId="0" borderId="0" xfId="0" applyFont="1" applyAlignment="1">
      <alignment horizontal="right" vertical="top" wrapText="1"/>
    </xf>
    <xf numFmtId="0" fontId="91" fillId="0" borderId="0" xfId="0" applyFont="1" applyAlignment="1">
      <alignment horizontal="right" vertical="top" wrapText="1"/>
    </xf>
    <xf numFmtId="0" fontId="83" fillId="0" borderId="0" xfId="0" applyFont="1" applyAlignment="1">
      <alignment horizontal="right" vertical="top"/>
    </xf>
    <xf numFmtId="0" fontId="91" fillId="0" borderId="0" xfId="0" applyFont="1" applyAlignment="1">
      <alignment horizontal="left" indent="2"/>
    </xf>
    <xf numFmtId="4" fontId="91" fillId="0" borderId="0" xfId="0" applyNumberFormat="1" applyFont="1" applyAlignment="1">
      <alignment horizontal="left" indent="2"/>
    </xf>
    <xf numFmtId="0" fontId="80" fillId="0" borderId="0" xfId="160" applyFont="1" applyAlignment="1">
      <alignment horizontal="left" vertical="top" wrapText="1"/>
    </xf>
    <xf numFmtId="0" fontId="79" fillId="0" borderId="0" xfId="160" applyFont="1" applyAlignment="1">
      <alignment horizontal="left"/>
    </xf>
    <xf numFmtId="0" fontId="80" fillId="0" borderId="0" xfId="0" applyFont="1" applyAlignment="1">
      <alignment horizontal="left" wrapText="1"/>
    </xf>
    <xf numFmtId="0" fontId="83" fillId="0" borderId="0" xfId="0" applyFont="1" applyAlignment="1">
      <alignment horizontal="left" vertical="top" wrapText="1"/>
    </xf>
    <xf numFmtId="0" fontId="79" fillId="0" borderId="0" xfId="0" applyFont="1" applyAlignment="1">
      <alignment horizontal="left" vertical="top" wrapText="1"/>
    </xf>
    <xf numFmtId="0" fontId="80" fillId="0" borderId="0" xfId="0" applyFont="1" applyAlignment="1">
      <alignment horizontal="left" vertical="top" wrapText="1"/>
    </xf>
    <xf numFmtId="0" fontId="79" fillId="0" borderId="0" xfId="0" applyFont="1" applyAlignment="1">
      <alignment vertical="top" wrapText="1"/>
    </xf>
    <xf numFmtId="0" fontId="83" fillId="0" borderId="0" xfId="0" applyFont="1" applyAlignment="1">
      <alignment horizontal="left" vertical="top" wrapText="1"/>
    </xf>
    <xf numFmtId="0" fontId="79" fillId="0" borderId="0" xfId="0" applyFont="1" applyAlignment="1">
      <alignment horizontal="left" vertical="top" wrapText="1"/>
    </xf>
    <xf numFmtId="0" fontId="80" fillId="0" borderId="0" xfId="0" applyFont="1" applyAlignment="1">
      <alignment horizontal="left" vertical="top" wrapText="1"/>
    </xf>
    <xf numFmtId="0" fontId="98" fillId="0" borderId="0" xfId="0" applyFont="1" applyAlignment="1">
      <alignment vertical="top" wrapText="1"/>
    </xf>
    <xf numFmtId="0" fontId="99" fillId="0" borderId="0" xfId="0" applyFont="1"/>
    <xf numFmtId="0" fontId="80" fillId="0" borderId="0" xfId="0" applyFont="1" applyAlignment="1">
      <alignment horizontal="left" vertical="top"/>
    </xf>
    <xf numFmtId="0" fontId="79" fillId="0" borderId="0" xfId="0" applyFont="1" applyAlignment="1">
      <alignment horizontal="justify" vertical="top"/>
    </xf>
    <xf numFmtId="0" fontId="80" fillId="0" borderId="16" xfId="0" applyFont="1" applyBorder="1" applyAlignment="1">
      <alignment horizontal="left" vertical="top"/>
    </xf>
    <xf numFmtId="0" fontId="80" fillId="0" borderId="14" xfId="0" applyFont="1" applyBorder="1" applyAlignment="1">
      <alignment horizontal="left" vertical="top"/>
    </xf>
    <xf numFmtId="0" fontId="79" fillId="0" borderId="16" xfId="0" applyFont="1" applyBorder="1" applyAlignment="1">
      <alignment horizontal="left" vertical="top"/>
    </xf>
    <xf numFmtId="0" fontId="84" fillId="0" borderId="0" xfId="0" applyFont="1" applyAlignment="1">
      <alignment vertical="top" wrapText="1"/>
    </xf>
    <xf numFmtId="0" fontId="91" fillId="0" borderId="0" xfId="0" applyFont="1" applyAlignment="1">
      <alignment horizontal="left" vertical="top" indent="2"/>
    </xf>
    <xf numFmtId="0" fontId="80" fillId="0" borderId="0" xfId="0" applyFont="1" applyAlignment="1">
      <alignment horizontal="justify" wrapText="1"/>
    </xf>
    <xf numFmtId="0" fontId="79" fillId="0" borderId="0" xfId="0" applyFont="1" applyAlignment="1">
      <alignment horizontal="left" wrapText="1" indent="2"/>
    </xf>
    <xf numFmtId="0" fontId="91" fillId="0" borderId="0" xfId="0" applyFont="1" applyAlignment="1">
      <alignment horizontal="left" wrapText="1" indent="2"/>
    </xf>
    <xf numFmtId="0" fontId="79" fillId="0" borderId="0" xfId="0" applyFont="1" applyAlignment="1">
      <alignment horizontal="justify"/>
    </xf>
    <xf numFmtId="0" fontId="79" fillId="0" borderId="12" xfId="0" applyFont="1" applyBorder="1" applyAlignment="1">
      <alignment horizontal="left" vertical="top"/>
    </xf>
    <xf numFmtId="4" fontId="79" fillId="0" borderId="12" xfId="0" applyNumberFormat="1" applyFont="1" applyBorder="1" applyAlignment="1">
      <alignment horizontal="right" vertical="top"/>
    </xf>
    <xf numFmtId="0" fontId="78" fillId="0" borderId="0" xfId="0" applyFont="1" applyAlignment="1">
      <alignment horizontal="right"/>
    </xf>
    <xf numFmtId="0" fontId="79" fillId="0" borderId="0" xfId="0" applyFont="1" applyAlignment="1">
      <alignment horizontal="left" vertical="top"/>
    </xf>
    <xf numFmtId="0" fontId="83" fillId="0" borderId="0" xfId="0" applyFont="1" applyFill="1" applyAlignment="1">
      <alignment horizontal="left" vertical="top" wrapText="1" indent="2"/>
    </xf>
    <xf numFmtId="0" fontId="83" fillId="0" borderId="0" xfId="0" applyFont="1" applyAlignment="1">
      <alignment horizontal="center" wrapText="1"/>
    </xf>
    <xf numFmtId="0" fontId="84" fillId="0" borderId="13" xfId="0" applyFont="1" applyBorder="1"/>
    <xf numFmtId="0" fontId="83" fillId="0" borderId="13" xfId="0" applyFont="1" applyBorder="1"/>
    <xf numFmtId="4" fontId="83" fillId="0" borderId="13" xfId="0" applyNumberFormat="1" applyFont="1" applyBorder="1"/>
    <xf numFmtId="4" fontId="83" fillId="0" borderId="12" xfId="0" applyNumberFormat="1" applyFont="1" applyBorder="1"/>
    <xf numFmtId="0" fontId="84" fillId="0" borderId="14" xfId="0" applyFont="1" applyBorder="1"/>
    <xf numFmtId="0" fontId="83" fillId="0" borderId="14" xfId="0" applyFont="1" applyBorder="1"/>
    <xf numFmtId="4" fontId="83" fillId="0" borderId="14" xfId="0" applyNumberFormat="1" applyFont="1" applyBorder="1"/>
    <xf numFmtId="0" fontId="83" fillId="0" borderId="13" xfId="0" applyFont="1" applyBorder="1" applyAlignment="1">
      <alignment horizontal="left" vertical="center" wrapText="1"/>
    </xf>
    <xf numFmtId="0" fontId="83" fillId="0" borderId="13" xfId="0" applyFont="1" applyBorder="1" applyAlignment="1">
      <alignment horizontal="center" vertical="center" wrapText="1"/>
    </xf>
    <xf numFmtId="4" fontId="83" fillId="0" borderId="13" xfId="0" applyNumberFormat="1" applyFont="1" applyBorder="1" applyAlignment="1">
      <alignment horizontal="center" vertical="center"/>
    </xf>
    <xf numFmtId="4" fontId="83" fillId="0" borderId="12" xfId="0" applyNumberFormat="1" applyFont="1" applyBorder="1" applyAlignment="1">
      <alignment horizontal="right" wrapText="1"/>
    </xf>
    <xf numFmtId="4" fontId="83" fillId="0" borderId="12" xfId="0" applyNumberFormat="1" applyFont="1" applyBorder="1" applyAlignment="1">
      <alignment horizontal="right"/>
    </xf>
    <xf numFmtId="0" fontId="83" fillId="0" borderId="0" xfId="0" applyFont="1" applyAlignment="1">
      <alignment horizontal="left" vertical="center" wrapText="1"/>
    </xf>
    <xf numFmtId="0" fontId="83" fillId="0" borderId="0" xfId="0" applyFont="1" applyAlignment="1">
      <alignment horizontal="center" vertical="center" wrapText="1"/>
    </xf>
    <xf numFmtId="4" fontId="83" fillId="0" borderId="0" xfId="0" applyNumberFormat="1" applyFont="1" applyAlignment="1">
      <alignment horizontal="center" vertical="center"/>
    </xf>
    <xf numFmtId="4" fontId="83" fillId="0" borderId="0" xfId="0" applyNumberFormat="1" applyFont="1" applyAlignment="1">
      <alignment horizontal="right" wrapText="1"/>
    </xf>
    <xf numFmtId="0" fontId="84" fillId="0" borderId="0" xfId="0" applyFont="1" applyBorder="1" applyAlignment="1">
      <alignment horizontal="left"/>
    </xf>
    <xf numFmtId="0" fontId="83" fillId="0" borderId="0" xfId="0" applyFont="1" applyBorder="1" applyAlignment="1">
      <alignment horizontal="center" vertical="center" wrapText="1"/>
    </xf>
    <xf numFmtId="4" fontId="83" fillId="0" borderId="0" xfId="0" applyNumberFormat="1" applyFont="1" applyBorder="1" applyAlignment="1">
      <alignment horizontal="center" vertical="center"/>
    </xf>
    <xf numFmtId="4" fontId="83" fillId="0" borderId="0" xfId="0" applyNumberFormat="1" applyFont="1" applyBorder="1" applyAlignment="1">
      <alignment horizontal="right"/>
    </xf>
    <xf numFmtId="0" fontId="83" fillId="0" borderId="0" xfId="0" applyFont="1" applyBorder="1"/>
    <xf numFmtId="0" fontId="83" fillId="0" borderId="0" xfId="0" applyFont="1" applyBorder="1" applyAlignment="1">
      <alignment horizontal="center"/>
    </xf>
    <xf numFmtId="182" fontId="83" fillId="0" borderId="0" xfId="0" applyNumberFormat="1" applyFont="1" applyBorder="1" applyAlignment="1">
      <alignment horizontal="center"/>
    </xf>
    <xf numFmtId="0" fontId="83" fillId="0" borderId="0" xfId="0" applyFont="1" applyBorder="1" applyAlignment="1">
      <alignment horizontal="left" vertical="center" wrapText="1"/>
    </xf>
    <xf numFmtId="0" fontId="84" fillId="0" borderId="0" xfId="0" applyFont="1" applyBorder="1" applyAlignment="1">
      <alignment horizontal="left" vertical="center" wrapText="1"/>
    </xf>
    <xf numFmtId="0" fontId="83" fillId="0" borderId="0" xfId="0" applyFont="1" applyBorder="1" applyAlignment="1">
      <alignment horizontal="left"/>
    </xf>
    <xf numFmtId="183" fontId="83" fillId="0" borderId="0" xfId="0" applyNumberFormat="1" applyFont="1" applyBorder="1" applyAlignment="1">
      <alignment horizontal="center"/>
    </xf>
    <xf numFmtId="4" fontId="83" fillId="0" borderId="0" xfId="0" applyNumberFormat="1" applyFont="1" applyBorder="1" applyAlignment="1">
      <alignment horizontal="center"/>
    </xf>
    <xf numFmtId="183" fontId="83" fillId="0" borderId="0" xfId="0" applyNumberFormat="1" applyFont="1" applyAlignment="1">
      <alignment horizontal="center"/>
    </xf>
    <xf numFmtId="4" fontId="83" fillId="0" borderId="0" xfId="0" applyNumberFormat="1" applyFont="1" applyAlignment="1">
      <alignment horizontal="center"/>
    </xf>
    <xf numFmtId="0" fontId="84" fillId="0" borderId="0" xfId="0" applyFont="1" applyBorder="1"/>
    <xf numFmtId="0" fontId="84" fillId="0" borderId="0" xfId="0" applyFont="1" applyBorder="1" applyAlignment="1">
      <alignment horizontal="left" vertical="center"/>
    </xf>
    <xf numFmtId="0" fontId="84" fillId="0" borderId="0" xfId="0" applyFont="1" applyBorder="1" applyAlignment="1">
      <alignment horizontal="left" vertical="center" indent="2"/>
    </xf>
    <xf numFmtId="0" fontId="83" fillId="0" borderId="0" xfId="0" applyFont="1" applyBorder="1" applyAlignment="1">
      <alignment wrapText="1"/>
    </xf>
    <xf numFmtId="0" fontId="83" fillId="0" borderId="0" xfId="0" applyFont="1" applyBorder="1" applyAlignment="1">
      <alignment horizontal="left" wrapText="1"/>
    </xf>
    <xf numFmtId="0" fontId="83" fillId="0" borderId="0" xfId="0" applyFont="1" applyAlignment="1">
      <alignment horizontal="left" vertical="top"/>
    </xf>
    <xf numFmtId="4" fontId="84" fillId="0" borderId="0" xfId="0" applyNumberFormat="1" applyFont="1" applyAlignment="1">
      <alignment horizontal="right" vertical="top"/>
    </xf>
    <xf numFmtId="0" fontId="83" fillId="0" borderId="14" xfId="0" applyFont="1" applyBorder="1" applyAlignment="1">
      <alignment horizontal="left" vertical="top"/>
    </xf>
    <xf numFmtId="4" fontId="83" fillId="0" borderId="14" xfId="0" applyNumberFormat="1" applyFont="1" applyBorder="1" applyAlignment="1">
      <alignment horizontal="right" vertical="top"/>
    </xf>
    <xf numFmtId="0" fontId="102" fillId="0" borderId="0" xfId="0" applyFont="1"/>
    <xf numFmtId="0" fontId="100" fillId="0" borderId="0" xfId="0" applyFont="1"/>
    <xf numFmtId="0" fontId="84" fillId="0" borderId="0" xfId="0" applyFont="1" applyAlignment="1">
      <alignment wrapText="1"/>
    </xf>
    <xf numFmtId="0" fontId="91" fillId="0" borderId="0" xfId="0" applyFont="1" applyBorder="1"/>
    <xf numFmtId="0" fontId="91" fillId="0" borderId="0" xfId="0" applyFont="1" applyBorder="1" applyAlignment="1">
      <alignment horizontal="center"/>
    </xf>
    <xf numFmtId="182" fontId="91" fillId="0" borderId="0" xfId="0" applyNumberFormat="1" applyFont="1" applyBorder="1" applyAlignment="1">
      <alignment horizontal="center"/>
    </xf>
    <xf numFmtId="183" fontId="91" fillId="0" borderId="0" xfId="0" applyNumberFormat="1" applyFont="1" applyBorder="1" applyAlignment="1">
      <alignment horizontal="center"/>
    </xf>
    <xf numFmtId="1" fontId="91" fillId="0" borderId="0" xfId="0" applyNumberFormat="1" applyFont="1" applyBorder="1" applyAlignment="1">
      <alignment horizontal="center"/>
    </xf>
    <xf numFmtId="0" fontId="84" fillId="0" borderId="0" xfId="0" applyFont="1" applyBorder="1" applyAlignment="1">
      <alignment wrapText="1"/>
    </xf>
    <xf numFmtId="0" fontId="84" fillId="0" borderId="16" xfId="0" applyFont="1" applyBorder="1" applyAlignment="1">
      <alignment horizontal="left" vertical="top"/>
    </xf>
    <xf numFmtId="0" fontId="84" fillId="0" borderId="14" xfId="0" applyFont="1" applyBorder="1" applyAlignment="1">
      <alignment horizontal="left" vertical="top"/>
    </xf>
    <xf numFmtId="0" fontId="83" fillId="0" borderId="16" xfId="0" applyFont="1" applyBorder="1" applyAlignment="1">
      <alignment horizontal="left" vertical="top"/>
    </xf>
    <xf numFmtId="0" fontId="93" fillId="30" borderId="0" xfId="274" applyFont="1" applyFill="1" applyAlignment="1">
      <alignment horizontal="left" vertical="top" wrapText="1"/>
    </xf>
    <xf numFmtId="16" fontId="79" fillId="0" borderId="0" xfId="0" applyNumberFormat="1" applyFont="1" applyAlignment="1">
      <alignment horizontal="left" vertical="top"/>
    </xf>
    <xf numFmtId="175" fontId="79" fillId="0" borderId="0" xfId="160" applyNumberFormat="1" applyFont="1"/>
    <xf numFmtId="175" fontId="80" fillId="0" borderId="0" xfId="160" applyNumberFormat="1" applyFont="1"/>
    <xf numFmtId="175" fontId="80" fillId="0" borderId="0" xfId="160" applyNumberFormat="1" applyFont="1" applyAlignment="1">
      <alignment horizontal="left" vertical="top" wrapText="1"/>
    </xf>
    <xf numFmtId="175" fontId="83" fillId="0" borderId="0" xfId="0" applyNumberFormat="1" applyFont="1" applyAlignment="1">
      <alignment horizontal="right"/>
    </xf>
    <xf numFmtId="175" fontId="97" fillId="0" borderId="18" xfId="0" applyNumberFormat="1" applyFont="1" applyBorder="1" applyAlignment="1">
      <alignment horizontal="right"/>
    </xf>
    <xf numFmtId="175" fontId="79" fillId="0" borderId="0" xfId="0" applyNumberFormat="1" applyFont="1"/>
    <xf numFmtId="175" fontId="93" fillId="0" borderId="0" xfId="0" applyNumberFormat="1" applyFont="1"/>
    <xf numFmtId="175" fontId="83" fillId="0" borderId="0" xfId="0" applyNumberFormat="1" applyFont="1" applyFill="1" applyAlignment="1">
      <alignment horizontal="right"/>
    </xf>
    <xf numFmtId="175" fontId="83" fillId="0" borderId="0" xfId="160" applyNumberFormat="1" applyFont="1"/>
    <xf numFmtId="175" fontId="83" fillId="0" borderId="0" xfId="0" applyNumberFormat="1" applyFont="1"/>
    <xf numFmtId="175" fontId="84" fillId="0" borderId="18" xfId="0" applyNumberFormat="1" applyFont="1" applyBorder="1" applyAlignment="1">
      <alignment horizontal="right"/>
    </xf>
    <xf numFmtId="4" fontId="10" fillId="0" borderId="0" xfId="160" applyNumberFormat="1" applyFont="1"/>
    <xf numFmtId="4" fontId="7" fillId="0" borderId="0" xfId="160" applyNumberFormat="1" applyFont="1"/>
    <xf numFmtId="0" fontId="83" fillId="0" borderId="0" xfId="0" applyFont="1" applyAlignment="1">
      <alignment horizontal="left" vertical="top" wrapText="1" indent="1"/>
    </xf>
    <xf numFmtId="4" fontId="79" fillId="0" borderId="0" xfId="0" applyNumberFormat="1" applyFont="1" applyAlignment="1">
      <alignment wrapText="1"/>
    </xf>
    <xf numFmtId="0" fontId="79" fillId="0" borderId="0" xfId="160" applyFont="1" applyAlignment="1">
      <alignment horizontal="left"/>
    </xf>
    <xf numFmtId="0" fontId="80" fillId="0" borderId="0" xfId="0" applyFont="1" applyAlignment="1">
      <alignment horizontal="left" vertical="top" wrapText="1"/>
    </xf>
    <xf numFmtId="0" fontId="79" fillId="0" borderId="0" xfId="0" applyFont="1" applyFill="1" applyAlignment="1">
      <alignment horizontal="justify" vertical="top" wrapText="1"/>
    </xf>
    <xf numFmtId="0" fontId="79" fillId="0" borderId="0" xfId="0" applyFont="1" applyFill="1" applyAlignment="1">
      <alignment horizontal="justify" vertical="top"/>
    </xf>
    <xf numFmtId="0" fontId="7" fillId="0" borderId="0" xfId="160" applyFont="1"/>
    <xf numFmtId="0" fontId="83" fillId="0" borderId="0" xfId="274" applyFont="1" applyAlignment="1">
      <alignment horizontal="left" vertical="top" wrapText="1"/>
    </xf>
    <xf numFmtId="0" fontId="91" fillId="0" borderId="0" xfId="0" applyFont="1" applyAlignment="1">
      <alignment horizontal="left" vertical="top" wrapText="1" indent="2"/>
    </xf>
    <xf numFmtId="0" fontId="80" fillId="0" borderId="0" xfId="160" applyFont="1"/>
    <xf numFmtId="0" fontId="79" fillId="0" borderId="0" xfId="160" applyFont="1"/>
    <xf numFmtId="0" fontId="80" fillId="0" borderId="0" xfId="160" applyFont="1" applyAlignment="1">
      <alignment horizontal="right"/>
    </xf>
    <xf numFmtId="4" fontId="80" fillId="0" borderId="0" xfId="160" applyNumberFormat="1" applyFont="1" applyAlignment="1">
      <alignment horizontal="right"/>
    </xf>
    <xf numFmtId="0" fontId="84" fillId="0" borderId="0" xfId="0" applyFont="1" applyAlignment="1">
      <alignment horizontal="left" vertical="top" wrapText="1"/>
    </xf>
    <xf numFmtId="4" fontId="91" fillId="0" borderId="0" xfId="0" applyNumberFormat="1" applyFont="1" applyAlignment="1">
      <alignment horizontal="right"/>
    </xf>
    <xf numFmtId="0" fontId="91" fillId="0" borderId="0" xfId="0" applyFont="1" applyAlignment="1">
      <alignment horizontal="right" vertical="top" wrapText="1"/>
    </xf>
    <xf numFmtId="0" fontId="79" fillId="0" borderId="0" xfId="160" applyFont="1" applyAlignment="1">
      <alignment horizontal="left"/>
    </xf>
    <xf numFmtId="175" fontId="80" fillId="0" borderId="0" xfId="160" applyNumberFormat="1" applyFont="1"/>
    <xf numFmtId="4" fontId="7" fillId="0" borderId="0" xfId="160" applyNumberFormat="1" applyFont="1"/>
    <xf numFmtId="0" fontId="80" fillId="0" borderId="0" xfId="160" applyFont="1" applyAlignment="1">
      <alignment horizontal="left" vertical="top" wrapText="1"/>
    </xf>
    <xf numFmtId="0" fontId="79" fillId="0" borderId="0" xfId="160" applyFont="1" applyAlignment="1">
      <alignment horizontal="left" vertical="top" wrapText="1"/>
    </xf>
    <xf numFmtId="0" fontId="79" fillId="0" borderId="0" xfId="160" applyFont="1" applyAlignment="1">
      <alignment horizontal="left" vertical="top"/>
    </xf>
    <xf numFmtId="0" fontId="79" fillId="0" borderId="0" xfId="160" applyFont="1" applyAlignment="1">
      <alignment horizontal="left" wrapText="1"/>
    </xf>
    <xf numFmtId="0" fontId="79" fillId="0" borderId="0" xfId="160" applyFont="1" applyAlignment="1">
      <alignment horizontal="left"/>
    </xf>
    <xf numFmtId="0" fontId="79" fillId="0" borderId="0" xfId="0" applyFont="1" applyAlignment="1">
      <alignment vertical="top" wrapText="1"/>
    </xf>
    <xf numFmtId="0" fontId="79" fillId="0" borderId="0" xfId="164" applyFont="1" applyAlignment="1">
      <alignment horizontal="left" vertical="top" wrapText="1"/>
    </xf>
    <xf numFmtId="0" fontId="80" fillId="0" borderId="0" xfId="164" applyFont="1" applyAlignment="1">
      <alignment horizontal="left" vertical="top" wrapText="1"/>
    </xf>
    <xf numFmtId="0" fontId="80" fillId="0" borderId="0" xfId="0" applyFont="1" applyAlignment="1">
      <alignment horizontal="left" wrapText="1"/>
    </xf>
    <xf numFmtId="0" fontId="83" fillId="0" borderId="0" xfId="0" applyFont="1" applyAlignment="1">
      <alignment horizontal="left" vertical="top" wrapText="1"/>
    </xf>
    <xf numFmtId="0" fontId="79" fillId="0" borderId="0" xfId="0" applyFont="1" applyAlignment="1">
      <alignment horizontal="left" vertical="top" wrapText="1"/>
    </xf>
    <xf numFmtId="0" fontId="80" fillId="0" borderId="0" xfId="0" applyFont="1" applyAlignment="1">
      <alignment horizontal="left" vertical="top" wrapText="1"/>
    </xf>
    <xf numFmtId="0" fontId="79" fillId="0" borderId="0" xfId="165" applyFont="1" applyAlignment="1" applyProtection="1">
      <alignment horizontal="left" vertical="top" wrapText="1"/>
      <protection hidden="1"/>
    </xf>
    <xf numFmtId="0" fontId="79" fillId="0" borderId="0" xfId="273" applyFont="1" applyAlignment="1">
      <alignment horizontal="left" vertical="top" wrapText="1"/>
    </xf>
    <xf numFmtId="0" fontId="79" fillId="0" borderId="0" xfId="0" applyFont="1" applyAlignment="1">
      <alignment horizontal="left" vertical="top"/>
    </xf>
    <xf numFmtId="0" fontId="89" fillId="0" borderId="0" xfId="0" applyFont="1" applyAlignment="1">
      <alignment horizontal="left" vertical="top" wrapText="1"/>
    </xf>
    <xf numFmtId="0" fontId="103" fillId="0" borderId="0" xfId="0" applyFont="1" applyAlignment="1">
      <alignment horizontal="left" vertical="top" wrapText="1"/>
    </xf>
    <xf numFmtId="4" fontId="103" fillId="0" borderId="0" xfId="0" applyNumberFormat="1" applyFont="1" applyAlignment="1">
      <alignment vertical="top"/>
    </xf>
  </cellXfs>
  <cellStyles count="369">
    <cellStyle name="20 % – Poudarek1 2" xfId="244"/>
    <cellStyle name="20 % – Poudarek1 2 2" xfId="293"/>
    <cellStyle name="20 % – Poudarek2 2" xfId="245"/>
    <cellStyle name="20 % – Poudarek2 2 2" xfId="294"/>
    <cellStyle name="20 % – Poudarek3 2" xfId="246"/>
    <cellStyle name="20 % – Poudarek3 2 2" xfId="295"/>
    <cellStyle name="20 % – Poudarek4 2" xfId="247"/>
    <cellStyle name="20 % – Poudarek4 2 2" xfId="296"/>
    <cellStyle name="20 % – Poudarek5 2" xfId="248"/>
    <cellStyle name="20 % – Poudarek6 2" xfId="249"/>
    <cellStyle name="20 % – Poudarek6 2 2" xfId="297"/>
    <cellStyle name="20% - Accent1" xfId="1"/>
    <cellStyle name="20% - Accent1 1 4" xfId="2"/>
    <cellStyle name="20% - Accent1 2" xfId="3"/>
    <cellStyle name="20% - Accent1_1630_PZI_Popis_170215_s" xfId="4"/>
    <cellStyle name="20% - Accent2" xfId="5"/>
    <cellStyle name="20% - Accent2 2" xfId="6"/>
    <cellStyle name="20% - Accent3" xfId="7"/>
    <cellStyle name="20% - Accent3 2" xfId="8"/>
    <cellStyle name="20% - Accent4" xfId="9"/>
    <cellStyle name="20% - Accent4 2" xfId="10"/>
    <cellStyle name="20% - Accent5" xfId="11"/>
    <cellStyle name="20% - Accent5 2" xfId="12"/>
    <cellStyle name="20% - Accent6" xfId="13"/>
    <cellStyle name="20% - Accent6 2" xfId="14"/>
    <cellStyle name="20% - Accent6 3" xfId="250"/>
    <cellStyle name="40 % – Poudarek1 2" xfId="251"/>
    <cellStyle name="40 % – Poudarek1 2 2" xfId="298"/>
    <cellStyle name="40 % – Poudarek2 2" xfId="252"/>
    <cellStyle name="40 % – Poudarek3 2" xfId="253"/>
    <cellStyle name="40 % – Poudarek3 2 2" xfId="299"/>
    <cellStyle name="40 % – Poudarek4 2" xfId="254"/>
    <cellStyle name="40 % – Poudarek4 2 2" xfId="300"/>
    <cellStyle name="40 % – Poudarek5 2" xfId="255"/>
    <cellStyle name="40 % – Poudarek5 2 2" xfId="301"/>
    <cellStyle name="40 % – Poudarek6 2" xfId="256"/>
    <cellStyle name="40 % – Poudarek6 2 2" xfId="302"/>
    <cellStyle name="40% - Accent1" xfId="15"/>
    <cellStyle name="40% - Accent1 2" xfId="16"/>
    <cellStyle name="40% - Accent2" xfId="17"/>
    <cellStyle name="40% - Accent2 2" xfId="18"/>
    <cellStyle name="40% - Accent3" xfId="19"/>
    <cellStyle name="40% - Accent3 2" xfId="20"/>
    <cellStyle name="40% - Accent4" xfId="21"/>
    <cellStyle name="40% - Accent4 2" xfId="22"/>
    <cellStyle name="40% - Accent5" xfId="23"/>
    <cellStyle name="40% - Accent5 2" xfId="24"/>
    <cellStyle name="40% - Accent6" xfId="25"/>
    <cellStyle name="40% - Accent6 2" xfId="26"/>
    <cellStyle name="60 % – Poudarek1 2" xfId="257"/>
    <cellStyle name="60 % – Poudarek1 2 2" xfId="303"/>
    <cellStyle name="60 % – Poudarek2 2" xfId="258"/>
    <cellStyle name="60 % – Poudarek2 2 2" xfId="304"/>
    <cellStyle name="60 % – Poudarek3 2" xfId="259"/>
    <cellStyle name="60 % – Poudarek3 2 2" xfId="305"/>
    <cellStyle name="60 % – Poudarek4 2" xfId="260"/>
    <cellStyle name="60 % – Poudarek4 2 2" xfId="306"/>
    <cellStyle name="60 % – Poudarek5 2" xfId="261"/>
    <cellStyle name="60 % – Poudarek5 2 2" xfId="307"/>
    <cellStyle name="60 % – Poudarek6 2" xfId="262"/>
    <cellStyle name="60 % – Poudarek6 2 2" xfId="308"/>
    <cellStyle name="60% - Accent1" xfId="27"/>
    <cellStyle name="60% - Accent2" xfId="28"/>
    <cellStyle name="60% - Accent3" xfId="29"/>
    <cellStyle name="60% - Accent4" xfId="30"/>
    <cellStyle name="60% - Accent5" xfId="31"/>
    <cellStyle name="60% - Accent6" xfId="32"/>
    <cellStyle name="Accent1" xfId="33"/>
    <cellStyle name="Accent2" xfId="34"/>
    <cellStyle name="Accent3" xfId="35"/>
    <cellStyle name="Accent4" xfId="36"/>
    <cellStyle name="Accent5" xfId="37"/>
    <cellStyle name="Accent6" xfId="38"/>
    <cellStyle name="Bad" xfId="39"/>
    <cellStyle name="Calculation" xfId="40"/>
    <cellStyle name="Check Cell" xfId="41"/>
    <cellStyle name="Comma 2" xfId="42"/>
    <cellStyle name="Comma 3" xfId="43"/>
    <cellStyle name="Comma 4" xfId="44"/>
    <cellStyle name="Comma_Sheet1" xfId="309"/>
    <cellStyle name="Comma0" xfId="45"/>
    <cellStyle name="Comma0 2" xfId="46"/>
    <cellStyle name="Currency 2" xfId="47"/>
    <cellStyle name="Currency 3" xfId="48"/>
    <cellStyle name="Currency 4" xfId="49"/>
    <cellStyle name="Currency 5" xfId="50"/>
    <cellStyle name="Currency 6" xfId="51"/>
    <cellStyle name="Currency 7" xfId="52"/>
    <cellStyle name="Currency0" xfId="53"/>
    <cellStyle name="Currency0 2" xfId="54"/>
    <cellStyle name="Date" xfId="55"/>
    <cellStyle name="Date 2" xfId="56"/>
    <cellStyle name="Denar [0]_V3 plin" xfId="57"/>
    <cellStyle name="Denar_V3 plin" xfId="58"/>
    <cellStyle name="Dobro 2" xfId="263"/>
    <cellStyle name="Dobro 2 2" xfId="310"/>
    <cellStyle name="Element-delo" xfId="59"/>
    <cellStyle name="Element-delo 5" xfId="60"/>
    <cellStyle name="Element-delo 5 2" xfId="61"/>
    <cellStyle name="Element-delo_HTZ IP 164 srednja zdravstvena šola Celje ci1151-1, BZ500+..." xfId="62"/>
    <cellStyle name="Euro" xfId="311"/>
    <cellStyle name="Excel Built-in Normal" xfId="63"/>
    <cellStyle name="Excel Built-in Normal 2" xfId="64"/>
    <cellStyle name="Excel Built-in Normal 3" xfId="359"/>
    <cellStyle name="Excel Built-in Normal 4" xfId="360"/>
    <cellStyle name="Excel Built-in Normal_1630_PZI_Popis_170215_s" xfId="65"/>
    <cellStyle name="Excel_BuiltIn_Comma 1" xfId="66"/>
    <cellStyle name="Explanatory Text" xfId="67"/>
    <cellStyle name="Fixed" xfId="68"/>
    <cellStyle name="Fixed 2" xfId="69"/>
    <cellStyle name="Good" xfId="264"/>
    <cellStyle name="Heading 1" xfId="70"/>
    <cellStyle name="Heading 2" xfId="71"/>
    <cellStyle name="Heading 3" xfId="72"/>
    <cellStyle name="Heading 4" xfId="73"/>
    <cellStyle name="Hiperpovezava 2" xfId="74"/>
    <cellStyle name="Hyperlink 2" xfId="75"/>
    <cellStyle name="Hyperlink 2 2" xfId="76"/>
    <cellStyle name="Hyperlink 3" xfId="77"/>
    <cellStyle name="Hyperlink 3 2" xfId="78"/>
    <cellStyle name="Input" xfId="79"/>
    <cellStyle name="Input 2" xfId="265"/>
    <cellStyle name="Izhod 2" xfId="266"/>
    <cellStyle name="Izhod 2 2" xfId="312"/>
    <cellStyle name="Linked Cell" xfId="80"/>
    <cellStyle name="Naslov 1 2" xfId="268"/>
    <cellStyle name="Naslov 1 2 2" xfId="313"/>
    <cellStyle name="Naslov 2 2" xfId="269"/>
    <cellStyle name="Naslov 2 2 2" xfId="314"/>
    <cellStyle name="Naslov 3 2" xfId="270"/>
    <cellStyle name="Naslov 3 2 2" xfId="315"/>
    <cellStyle name="Naslov 4 2" xfId="271"/>
    <cellStyle name="Naslov 4 2 2" xfId="316"/>
    <cellStyle name="Naslov 5" xfId="81"/>
    <cellStyle name="Naslov 6" xfId="267"/>
    <cellStyle name="Navadno" xfId="0" builtinId="0"/>
    <cellStyle name="Navadno 10 10 10" xfId="82"/>
    <cellStyle name="Navadno 10 10 10 2" xfId="83"/>
    <cellStyle name="Navadno 10 10 10 5" xfId="84"/>
    <cellStyle name="Navadno 10 10 10_1530_LIDL trgovina LOF 213 Maribor_popis_20160503" xfId="85"/>
    <cellStyle name="Navadno 10 111 10" xfId="86"/>
    <cellStyle name="Navadno 103" xfId="87"/>
    <cellStyle name="Navadno 103 2" xfId="88"/>
    <cellStyle name="Navadno 104" xfId="89"/>
    <cellStyle name="Navadno 104 2" xfId="90"/>
    <cellStyle name="Navadno 105" xfId="91"/>
    <cellStyle name="Navadno 105 2" xfId="92"/>
    <cellStyle name="Navadno 105 3" xfId="93"/>
    <cellStyle name="Navadno 105_1530_LIDL trgovina LOF 213 Maribor_popis_20160503" xfId="94"/>
    <cellStyle name="Navadno 106 2" xfId="95"/>
    <cellStyle name="Navadno 107" xfId="96"/>
    <cellStyle name="Navadno 107 2" xfId="97"/>
    <cellStyle name="Navadno 108" xfId="98"/>
    <cellStyle name="Navadno 108 2" xfId="99"/>
    <cellStyle name="Navadno 109" xfId="100"/>
    <cellStyle name="Navadno 109 2" xfId="101"/>
    <cellStyle name="Navadno 110" xfId="102"/>
    <cellStyle name="Navadno 110 2" xfId="103"/>
    <cellStyle name="Navadno 111" xfId="104"/>
    <cellStyle name="Navadno 111 2" xfId="105"/>
    <cellStyle name="Navadno 112 2" xfId="106"/>
    <cellStyle name="Navadno 113 2" xfId="107"/>
    <cellStyle name="Navadno 114 2" xfId="108"/>
    <cellStyle name="Navadno 115 2" xfId="109"/>
    <cellStyle name="Navadno 116 2" xfId="110"/>
    <cellStyle name="Navadno 119 2" xfId="111"/>
    <cellStyle name="Navadno 121 2" xfId="112"/>
    <cellStyle name="Navadno 122 2" xfId="113"/>
    <cellStyle name="Navadno 2" xfId="114"/>
    <cellStyle name="Navadno 2 100 2" xfId="115"/>
    <cellStyle name="Navadno 2 2" xfId="116"/>
    <cellStyle name="Navadno 2 2 2" xfId="117"/>
    <cellStyle name="Navadno 2 2 3" xfId="273"/>
    <cellStyle name="Navadno 2 2_1530_LIDL trgovina LOF 213 Maribor_popis_20160503" xfId="118"/>
    <cellStyle name="Navadno 2 3" xfId="119"/>
    <cellStyle name="Navadno 2 3 2" xfId="318"/>
    <cellStyle name="Navadno 2 3 3" xfId="317"/>
    <cellStyle name="Navadno 2 4" xfId="120"/>
    <cellStyle name="Navadno 2 5" xfId="121"/>
    <cellStyle name="Navadno 2 6" xfId="272"/>
    <cellStyle name="Navadno 25" xfId="319"/>
    <cellStyle name="Navadno 3" xfId="122"/>
    <cellStyle name="Navadno 3 11" xfId="123"/>
    <cellStyle name="Navadno 3 11 2" xfId="124"/>
    <cellStyle name="Navadno 3 111" xfId="125"/>
    <cellStyle name="Navadno 3 2" xfId="126"/>
    <cellStyle name="Navadno 3 2 15" xfId="127"/>
    <cellStyle name="Navadno 3 2 15 2" xfId="128"/>
    <cellStyle name="Navadno 3 2 15 2 2" xfId="129"/>
    <cellStyle name="Navadno 3 2 15 3" xfId="130"/>
    <cellStyle name="Navadno 3 2 15_1630_PZI_Popis_170215_s" xfId="131"/>
    <cellStyle name="Navadno 3 2 2" xfId="132"/>
    <cellStyle name="Navadno 3 2 3" xfId="321"/>
    <cellStyle name="Navadno 3 3" xfId="133"/>
    <cellStyle name="Navadno 3 3 2" xfId="134"/>
    <cellStyle name="Navadno 3 4" xfId="320"/>
    <cellStyle name="Navadno 4" xfId="135"/>
    <cellStyle name="Navadno 4 2" xfId="136"/>
    <cellStyle name="Navadno 4 2 2" xfId="137"/>
    <cellStyle name="Navadno 4 3" xfId="322"/>
    <cellStyle name="Navadno 5" xfId="138"/>
    <cellStyle name="Navadno 5 2" xfId="139"/>
    <cellStyle name="Navadno 5 3" xfId="323"/>
    <cellStyle name="Navadno 6" xfId="140"/>
    <cellStyle name="Navadno 6 2" xfId="141"/>
    <cellStyle name="Navadno 7" xfId="142"/>
    <cellStyle name="Navadno 7 2" xfId="143"/>
    <cellStyle name="Navadno 7 3" xfId="324"/>
    <cellStyle name="Navadno 73" xfId="144"/>
    <cellStyle name="Navadno 75" xfId="145"/>
    <cellStyle name="Navadno 75 2" xfId="146"/>
    <cellStyle name="Navadno 82" xfId="147"/>
    <cellStyle name="Navadno 82 2" xfId="148"/>
    <cellStyle name="Navadno 85" xfId="149"/>
    <cellStyle name="Navadno 85 2" xfId="150"/>
    <cellStyle name="Navadno 9" xfId="151"/>
    <cellStyle name="Navadno 9 2" xfId="152"/>
    <cellStyle name="Navadno 94 2" xfId="153"/>
    <cellStyle name="Navadno 95 2" xfId="154"/>
    <cellStyle name="Navadno 96" xfId="155"/>
    <cellStyle name="Navadno 96 2" xfId="156"/>
    <cellStyle name="Navadno 99" xfId="157"/>
    <cellStyle name="Navadno 99 2" xfId="158"/>
    <cellStyle name="Navadno_Fin-črn" xfId="159"/>
    <cellStyle name="Navadno_Fin-črn 2" xfId="274"/>
    <cellStyle name="Navadno_KALAMAR-PSO GREGORČIČEVA MS-16.11.04" xfId="160"/>
    <cellStyle name="Navadno_KALAMAR-PSO GREGORČIČEVA MS-16.11.04 2" xfId="161"/>
    <cellStyle name="Navadno_List1" xfId="162"/>
    <cellStyle name="Navadno_OBJEKT_GO_PREDRAČUN" xfId="163"/>
    <cellStyle name="Navadno_PROJEKTA gradbena jama komenda marec 2009 in avgust 10" xfId="164"/>
    <cellStyle name="Navadno_Volume 4 - BoQ - Tišina-gradb - cene-15-5" xfId="165"/>
    <cellStyle name="Neutral" xfId="166"/>
    <cellStyle name="Nevtralno 2" xfId="275"/>
    <cellStyle name="Nevtralno 2 2" xfId="325"/>
    <cellStyle name="Normal 10" xfId="167"/>
    <cellStyle name="Normal 10 2" xfId="168"/>
    <cellStyle name="Normal 11" xfId="169"/>
    <cellStyle name="Normal 11 2" xfId="170"/>
    <cellStyle name="Normal 12" xfId="171"/>
    <cellStyle name="Normal 13" xfId="172"/>
    <cellStyle name="Normal 13 2" xfId="361"/>
    <cellStyle name="Normal 19" xfId="173"/>
    <cellStyle name="Normal 2" xfId="174"/>
    <cellStyle name="Normal 2 2" xfId="175"/>
    <cellStyle name="Normal 2 2 2" xfId="176"/>
    <cellStyle name="Normal 2 3" xfId="177"/>
    <cellStyle name="Normal 2 4" xfId="326"/>
    <cellStyle name="Normal 2_1530_LIDL trgovina LOF 213 Maribor_popis_20160503" xfId="178"/>
    <cellStyle name="Normal 3" xfId="179"/>
    <cellStyle name="Normal 3 2" xfId="180"/>
    <cellStyle name="Normal 4" xfId="181"/>
    <cellStyle name="Normal 4 2" xfId="182"/>
    <cellStyle name="Normal 4 2 2" xfId="183"/>
    <cellStyle name="Normal 4 3" xfId="184"/>
    <cellStyle name="Normal 4_1530_LIDL trgovina LOF 213 Maribor_popis_20160503" xfId="185"/>
    <cellStyle name="Normal 40" xfId="186"/>
    <cellStyle name="Normal 40 2" xfId="187"/>
    <cellStyle name="Normal 42" xfId="188"/>
    <cellStyle name="Normal 42 2" xfId="189"/>
    <cellStyle name="Normal 48" xfId="190"/>
    <cellStyle name="Normal 48 2" xfId="191"/>
    <cellStyle name="Normal 49" xfId="192"/>
    <cellStyle name="Normal 49 2" xfId="193"/>
    <cellStyle name="Normal 5" xfId="194"/>
    <cellStyle name="Normal 5 2" xfId="195"/>
    <cellStyle name="Normal 5 2 2" xfId="196"/>
    <cellStyle name="Normal 50" xfId="197"/>
    <cellStyle name="Normal 50 2" xfId="198"/>
    <cellStyle name="Normal 51" xfId="199"/>
    <cellStyle name="Normal 51 2" xfId="200"/>
    <cellStyle name="Normal 52" xfId="201"/>
    <cellStyle name="Normal 52 2" xfId="202"/>
    <cellStyle name="Normal 53" xfId="203"/>
    <cellStyle name="Normal 53 2" xfId="204"/>
    <cellStyle name="Normal 54" xfId="205"/>
    <cellStyle name="Normal 54 2" xfId="206"/>
    <cellStyle name="Normal 55" xfId="207"/>
    <cellStyle name="Normal 55 2" xfId="208"/>
    <cellStyle name="Normal 56" xfId="209"/>
    <cellStyle name="Normal 56 2" xfId="210"/>
    <cellStyle name="Normal 6" xfId="211"/>
    <cellStyle name="Normal 7" xfId="212"/>
    <cellStyle name="Normal 7 2" xfId="213"/>
    <cellStyle name="Normal 8" xfId="214"/>
    <cellStyle name="Normal 8 2" xfId="215"/>
    <cellStyle name="Normal 9" xfId="216"/>
    <cellStyle name="Normal 9 2" xfId="217"/>
    <cellStyle name="Normal_2799K-S PZI Varstveno delovni center INCE, Mengeš - popis- cene Strel" xfId="218"/>
    <cellStyle name="Note" xfId="219"/>
    <cellStyle name="Note 2" xfId="276"/>
    <cellStyle name="Odstotek 2" xfId="220"/>
    <cellStyle name="Odstotek 2 2" xfId="221"/>
    <cellStyle name="Opomba 2" xfId="277"/>
    <cellStyle name="Opomba 2 2" xfId="327"/>
    <cellStyle name="Opozorilo 2" xfId="278"/>
    <cellStyle name="Output" xfId="222"/>
    <cellStyle name="Pojasnjevalno besedilo 2" xfId="279"/>
    <cellStyle name="Pomoc" xfId="223"/>
    <cellStyle name="Poudarek1 2" xfId="280"/>
    <cellStyle name="Poudarek1 2 2" xfId="328"/>
    <cellStyle name="Poudarek2 2" xfId="281"/>
    <cellStyle name="Poudarek2 2 2" xfId="329"/>
    <cellStyle name="Poudarek3 2" xfId="282"/>
    <cellStyle name="Poudarek3 2 2" xfId="330"/>
    <cellStyle name="Poudarek4 2" xfId="283"/>
    <cellStyle name="Poudarek4 2 2" xfId="331"/>
    <cellStyle name="Poudarek5 2" xfId="284"/>
    <cellStyle name="Poudarek6 2" xfId="285"/>
    <cellStyle name="Poudarek6 2 2" xfId="332"/>
    <cellStyle name="Povezana celica 2" xfId="286"/>
    <cellStyle name="Povezana celica 2 2" xfId="333"/>
    <cellStyle name="Preveri celico 2" xfId="287"/>
    <cellStyle name="PRVA VRSTA Element delo 2" xfId="224"/>
    <cellStyle name="Računanje 2" xfId="288"/>
    <cellStyle name="Računanje 2 2" xfId="334"/>
    <cellStyle name="Slabo 2" xfId="289"/>
    <cellStyle name="Slabo 2 2" xfId="335"/>
    <cellStyle name="Slog 1" xfId="225"/>
    <cellStyle name="Slog JB 10" xfId="226"/>
    <cellStyle name="Slog JB 10 2" xfId="227"/>
    <cellStyle name="Title" xfId="228"/>
    <cellStyle name="Title 2" xfId="229"/>
    <cellStyle name="Total" xfId="230"/>
    <cellStyle name="Valuta" xfId="231" builtinId="4"/>
    <cellStyle name="Valuta 2" xfId="232"/>
    <cellStyle name="Valuta 2 2" xfId="290"/>
    <cellStyle name="Valuta 2 2 2" xfId="336"/>
    <cellStyle name="Valuta 3" xfId="362"/>
    <cellStyle name="Vejica" xfId="233" builtinId="3"/>
    <cellStyle name="Vejica 2" xfId="234"/>
    <cellStyle name="Vejica 2 2" xfId="235"/>
    <cellStyle name="Vejica 2 2 2" xfId="236"/>
    <cellStyle name="Vejica 2 2 2 2" xfId="340"/>
    <cellStyle name="Vejica 2 2 2 3" xfId="339"/>
    <cellStyle name="Vejica 2 2 3" xfId="237"/>
    <cellStyle name="Vejica 2 2 3 2" xfId="341"/>
    <cellStyle name="Vejica 2 2 3 2 2" xfId="363"/>
    <cellStyle name="Vejica 2 2 4" xfId="342"/>
    <cellStyle name="Vejica 2 2 4 2" xfId="364"/>
    <cellStyle name="Vejica 2 2 5" xfId="338"/>
    <cellStyle name="Vejica 2 2_1530_LIDL trgovina LOF 213 Maribor_popis_20160503" xfId="238"/>
    <cellStyle name="Vejica 2 3" xfId="343"/>
    <cellStyle name="Vejica 2 3 2" xfId="344"/>
    <cellStyle name="Vejica 2 3 2 2" xfId="345"/>
    <cellStyle name="Vejica 2 3 2 2 2" xfId="366"/>
    <cellStyle name="Vejica 2 3 3" xfId="365"/>
    <cellStyle name="Vejica 2 4" xfId="346"/>
    <cellStyle name="Vejica 2 5" xfId="337"/>
    <cellStyle name="Vejica 3" xfId="239"/>
    <cellStyle name="Vejica 3 2" xfId="240"/>
    <cellStyle name="Vejica 3 2 2" xfId="348"/>
    <cellStyle name="Vejica 3 3" xfId="241"/>
    <cellStyle name="Vejica 3 3 2" xfId="349"/>
    <cellStyle name="Vejica 3 4" xfId="347"/>
    <cellStyle name="Vejica 3_1530_LIDL trgovina LOF 213 Maribor_popis_20160503" xfId="242"/>
    <cellStyle name="Vejica 4" xfId="350"/>
    <cellStyle name="Vejica 4 2" xfId="351"/>
    <cellStyle name="Vejica 4 3" xfId="352"/>
    <cellStyle name="Vejica 4 3 2" xfId="367"/>
    <cellStyle name="Vejica 5" xfId="353"/>
    <cellStyle name="Vejica 5 2" xfId="368"/>
    <cellStyle name="Vejica 6" xfId="354"/>
    <cellStyle name="Vejica 7" xfId="355"/>
    <cellStyle name="Vejica 8" xfId="356"/>
    <cellStyle name="Vnos 2" xfId="291"/>
    <cellStyle name="Vnos 2 2" xfId="357"/>
    <cellStyle name="Vsota 2" xfId="292"/>
    <cellStyle name="Vsota 2 2" xfId="358"/>
    <cellStyle name="Warning Text" xfId="24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data\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19" sqref="B19"/>
    </sheetView>
  </sheetViews>
  <sheetFormatPr defaultColWidth="9.140625" defaultRowHeight="12.75" customHeight="1"/>
  <cols>
    <col min="1" max="1" width="5.85546875" style="109" customWidth="1" collapsed="1"/>
    <col min="2" max="2" width="46.85546875" style="109" customWidth="1" collapsed="1"/>
    <col min="3" max="3" width="6.140625" style="109" customWidth="1" collapsed="1"/>
    <col min="4" max="4" width="8" style="111" customWidth="1" collapsed="1"/>
    <col min="5" max="5" width="9.140625" style="111" collapsed="1"/>
    <col min="6" max="6" width="11.5703125" style="111" customWidth="1" collapsed="1"/>
    <col min="7" max="16384" width="9.140625" style="109" collapsed="1"/>
  </cols>
  <sheetData>
    <row r="1" spans="1:6">
      <c r="B1" s="110"/>
    </row>
    <row r="3" spans="1:6" ht="15.75">
      <c r="B3" s="115" t="s">
        <v>147</v>
      </c>
    </row>
    <row r="4" spans="1:6" ht="15.75">
      <c r="B4" s="115"/>
    </row>
    <row r="5" spans="1:6" ht="15.75">
      <c r="B5" s="115"/>
    </row>
    <row r="7" spans="1:6" s="116" customFormat="1" ht="15.75">
      <c r="A7" s="118" t="s">
        <v>148</v>
      </c>
      <c r="B7" s="115" t="s">
        <v>149</v>
      </c>
      <c r="D7" s="117"/>
      <c r="E7" s="117"/>
      <c r="F7" s="117"/>
    </row>
    <row r="8" spans="1:6" s="116" customFormat="1" ht="12.75" customHeight="1">
      <c r="D8" s="117"/>
      <c r="E8" s="117"/>
      <c r="F8" s="117"/>
    </row>
    <row r="9" spans="1:6" s="116" customFormat="1" ht="15.75">
      <c r="A9" s="118" t="s">
        <v>150</v>
      </c>
      <c r="B9" s="115" t="s">
        <v>151</v>
      </c>
      <c r="D9" s="117"/>
      <c r="E9" s="117"/>
      <c r="F9" s="117"/>
    </row>
    <row r="10" spans="1:6" s="116" customFormat="1" ht="15.75">
      <c r="A10" s="119"/>
      <c r="B10" s="115"/>
      <c r="D10" s="117"/>
      <c r="E10" s="117"/>
      <c r="F10" s="117"/>
    </row>
    <row r="11" spans="1:6" s="116" customFormat="1" ht="15.75">
      <c r="A11" s="118" t="s">
        <v>152</v>
      </c>
      <c r="B11" s="115" t="s">
        <v>153</v>
      </c>
      <c r="D11" s="117"/>
      <c r="E11" s="117"/>
      <c r="F11" s="117"/>
    </row>
    <row r="12" spans="1:6" s="116" customFormat="1" ht="15.75">
      <c r="A12" s="119"/>
      <c r="B12" s="115"/>
      <c r="D12" s="117"/>
      <c r="E12" s="117"/>
      <c r="F12" s="117"/>
    </row>
    <row r="13" spans="1:6" s="116" customFormat="1" ht="15.75">
      <c r="A13" s="119" t="s">
        <v>154</v>
      </c>
      <c r="B13" s="115" t="s">
        <v>155</v>
      </c>
      <c r="D13" s="117"/>
      <c r="E13" s="117"/>
      <c r="F13" s="117"/>
    </row>
    <row r="14" spans="1:6" s="116" customFormat="1" ht="15.75">
      <c r="A14" s="119"/>
      <c r="B14" s="115"/>
      <c r="D14" s="117"/>
      <c r="E14" s="117"/>
      <c r="F14" s="117"/>
    </row>
    <row r="15" spans="1:6" s="116" customFormat="1" ht="15.75">
      <c r="A15" s="119" t="s">
        <v>156</v>
      </c>
      <c r="B15" s="115" t="s">
        <v>157</v>
      </c>
      <c r="D15" s="117"/>
      <c r="E15" s="117"/>
      <c r="F15" s="117"/>
    </row>
    <row r="16" spans="1:6" s="116" customFormat="1" ht="15.75">
      <c r="B16" s="115"/>
      <c r="D16" s="117"/>
      <c r="E16" s="117"/>
      <c r="F16" s="117"/>
    </row>
    <row r="17" spans="1:6" s="116" customFormat="1" ht="15.75">
      <c r="A17" s="119" t="s">
        <v>158</v>
      </c>
      <c r="B17" s="115" t="s">
        <v>159</v>
      </c>
      <c r="D17" s="117"/>
      <c r="E17" s="117"/>
      <c r="F17" s="117"/>
    </row>
    <row r="18" spans="1:6" s="116" customFormat="1" ht="15.75">
      <c r="A18" s="119"/>
      <c r="B18" s="115"/>
      <c r="D18" s="117"/>
      <c r="E18" s="117"/>
      <c r="F18" s="117"/>
    </row>
    <row r="19" spans="1:6" s="116" customFormat="1" ht="15.75">
      <c r="A19" s="119" t="s">
        <v>160</v>
      </c>
      <c r="B19" s="115" t="s">
        <v>161</v>
      </c>
      <c r="D19" s="117"/>
      <c r="E19" s="117"/>
      <c r="F19" s="117"/>
    </row>
    <row r="20" spans="1:6" s="116" customFormat="1" ht="15.75">
      <c r="A20" s="119"/>
      <c r="B20" s="115"/>
      <c r="D20" s="117"/>
      <c r="E20" s="117"/>
      <c r="F20" s="117"/>
    </row>
    <row r="21" spans="1:6" s="116" customFormat="1" ht="15.75">
      <c r="A21" s="120"/>
      <c r="B21" s="121" t="s">
        <v>162</v>
      </c>
      <c r="C21" s="122"/>
      <c r="D21" s="123"/>
      <c r="E21" s="117"/>
      <c r="F21" s="117"/>
    </row>
    <row r="22" spans="1:6">
      <c r="A22" s="114"/>
      <c r="B22" s="113"/>
    </row>
  </sheetData>
  <phoneticPr fontId="0" type="noConversion"/>
  <pageMargins left="0.98425196850393704" right="0.35433070866141736" top="0.74803149606299213" bottom="0.74803149606299213" header="0.31496062992125984" footer="0.31496062992125984"/>
  <pageSetup paperSize="9" orientation="portrait" horizontalDpi="300" verticalDpi="300" r:id="rId1"/>
  <headerFooter alignWithMargins="0">
    <oddHeader>&amp;C&amp;F; &amp;A</oddHeader>
    <oddFooter>&amp;C&amp;14&amp;Y&amp;P od &amp;N</oddFooter>
  </headerFooter>
  <colBreaks count="1" manualBreakCount="1">
    <brk id="4"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showZeros="0" view="pageBreakPreview" zoomScale="130" zoomScaleNormal="100" zoomScaleSheetLayoutView="130" workbookViewId="0">
      <selection activeCell="B19" sqref="B19"/>
    </sheetView>
  </sheetViews>
  <sheetFormatPr defaultColWidth="9.140625" defaultRowHeight="12.75"/>
  <cols>
    <col min="1" max="1" width="4.85546875" style="230" customWidth="1"/>
    <col min="2" max="2" width="53.140625" style="158" customWidth="1"/>
    <col min="3" max="3" width="5.7109375" style="158" bestFit="1" customWidth="1"/>
    <col min="4" max="4" width="9.85546875" style="223" bestFit="1" customWidth="1"/>
    <col min="5" max="5" width="9.140625" style="223" collapsed="1"/>
    <col min="6" max="6" width="10.28515625" style="223" customWidth="1"/>
    <col min="7" max="10" width="9.140625" style="109"/>
    <col min="11" max="16384" width="9.140625" style="109" collapsed="1"/>
  </cols>
  <sheetData>
    <row r="1" spans="1:6" customFormat="1" ht="15.75">
      <c r="A1" s="369" t="s">
        <v>150</v>
      </c>
      <c r="B1" s="155" t="s">
        <v>662</v>
      </c>
      <c r="C1" s="158"/>
      <c r="D1" s="158"/>
      <c r="E1" s="158"/>
      <c r="F1" s="158"/>
    </row>
    <row r="2" spans="1:6" customFormat="1">
      <c r="A2" s="158"/>
      <c r="B2" s="158"/>
      <c r="C2" s="158"/>
      <c r="D2" s="158"/>
      <c r="E2" s="158"/>
      <c r="F2" s="158"/>
    </row>
    <row r="3" spans="1:6">
      <c r="A3" s="206">
        <v>1</v>
      </c>
      <c r="B3" s="161" t="s">
        <v>661</v>
      </c>
      <c r="C3" s="208"/>
      <c r="D3" s="209"/>
      <c r="E3" s="229"/>
      <c r="F3" s="229"/>
    </row>
    <row r="4" spans="1:6">
      <c r="A4" s="211"/>
      <c r="B4" s="164"/>
      <c r="C4" s="213"/>
      <c r="D4" s="214"/>
      <c r="E4" s="209"/>
      <c r="F4" s="209"/>
    </row>
    <row r="5" spans="1:6" ht="25.5">
      <c r="A5" s="215" t="s">
        <v>173</v>
      </c>
      <c r="B5" s="168" t="s">
        <v>174</v>
      </c>
      <c r="C5" s="216" t="s">
        <v>175</v>
      </c>
      <c r="D5" s="217" t="s">
        <v>176</v>
      </c>
      <c r="E5" s="246" t="s">
        <v>302</v>
      </c>
      <c r="F5" s="202" t="s">
        <v>303</v>
      </c>
    </row>
    <row r="6" spans="1:6">
      <c r="A6" s="218"/>
      <c r="B6" s="172"/>
      <c r="C6" s="218"/>
      <c r="D6" s="219"/>
    </row>
    <row r="7" spans="1:6" ht="26.45" customHeight="1">
      <c r="A7" s="218"/>
      <c r="B7" s="469" t="s">
        <v>3</v>
      </c>
      <c r="C7" s="469"/>
      <c r="D7" s="469"/>
      <c r="E7" s="469"/>
    </row>
    <row r="8" spans="1:6" ht="130.5" customHeight="1">
      <c r="A8" s="218"/>
      <c r="B8" s="468" t="s">
        <v>813</v>
      </c>
      <c r="C8" s="468"/>
      <c r="D8" s="468"/>
      <c r="E8" s="468"/>
    </row>
    <row r="9" spans="1:6">
      <c r="A9" s="218"/>
      <c r="B9" s="174"/>
      <c r="C9" s="174"/>
      <c r="D9" s="180"/>
    </row>
    <row r="10" spans="1:6" ht="68.25" customHeight="1">
      <c r="A10" s="218"/>
      <c r="B10" s="469" t="s">
        <v>751</v>
      </c>
      <c r="C10" s="469"/>
      <c r="D10" s="469"/>
      <c r="E10" s="469"/>
    </row>
    <row r="11" spans="1:6" ht="53.25" customHeight="1">
      <c r="A11" s="218"/>
      <c r="B11" s="468" t="s">
        <v>812</v>
      </c>
      <c r="C11" s="468"/>
      <c r="D11" s="468"/>
      <c r="E11" s="468"/>
    </row>
    <row r="12" spans="1:6" ht="66" customHeight="1">
      <c r="A12" s="218"/>
      <c r="B12" s="468" t="s">
        <v>189</v>
      </c>
      <c r="C12" s="468"/>
      <c r="D12" s="468"/>
      <c r="E12" s="468"/>
    </row>
    <row r="13" spans="1:6" ht="42.75" customHeight="1">
      <c r="A13" s="218"/>
      <c r="B13" s="468" t="s">
        <v>455</v>
      </c>
      <c r="C13" s="468"/>
      <c r="D13" s="468"/>
      <c r="E13" s="468"/>
    </row>
    <row r="14" spans="1:6" ht="71.45" customHeight="1">
      <c r="A14" s="218"/>
      <c r="B14" s="468" t="s">
        <v>313</v>
      </c>
      <c r="C14" s="472"/>
      <c r="D14" s="472"/>
      <c r="E14" s="472"/>
    </row>
    <row r="15" spans="1:6" ht="41.45" customHeight="1">
      <c r="A15" s="218"/>
      <c r="B15" s="468" t="s">
        <v>332</v>
      </c>
      <c r="C15" s="468"/>
      <c r="D15" s="468"/>
      <c r="E15" s="468"/>
    </row>
    <row r="16" spans="1:6" ht="15" customHeight="1">
      <c r="A16" s="218"/>
      <c r="B16" s="468" t="s">
        <v>11</v>
      </c>
      <c r="C16" s="468"/>
      <c r="D16" s="468"/>
      <c r="E16" s="468"/>
    </row>
    <row r="17" spans="1:6">
      <c r="A17" s="218"/>
      <c r="B17" s="174"/>
      <c r="C17" s="174"/>
      <c r="D17" s="180"/>
    </row>
    <row r="18" spans="1:6" ht="76.5">
      <c r="A18" s="218"/>
      <c r="B18" s="180" t="s">
        <v>752</v>
      </c>
      <c r="D18" s="158"/>
    </row>
    <row r="19" spans="1:6" ht="395.25" customHeight="1">
      <c r="A19" s="218" t="s">
        <v>179</v>
      </c>
      <c r="B19" s="180" t="s">
        <v>816</v>
      </c>
      <c r="C19" s="309" t="s">
        <v>107</v>
      </c>
      <c r="D19" s="157">
        <f>D20+D21</f>
        <v>59.64</v>
      </c>
      <c r="F19" s="223">
        <f>E19*D19</f>
        <v>0</v>
      </c>
    </row>
    <row r="20" spans="1:6">
      <c r="A20" s="218"/>
      <c r="B20" s="236" t="s">
        <v>459</v>
      </c>
      <c r="D20" s="158">
        <f>8.3+23.8+9.92</f>
        <v>42.02</v>
      </c>
    </row>
    <row r="21" spans="1:6">
      <c r="A21" s="218"/>
      <c r="B21" s="236" t="s">
        <v>651</v>
      </c>
      <c r="D21" s="158">
        <f>4.13+5.72+7.77</f>
        <v>17.619999999999997</v>
      </c>
    </row>
    <row r="22" spans="1:6">
      <c r="A22" s="218"/>
      <c r="B22" s="180"/>
      <c r="D22" s="158"/>
    </row>
    <row r="23" spans="1:6" ht="157.5" customHeight="1">
      <c r="A23" s="218" t="s">
        <v>181</v>
      </c>
      <c r="B23" s="180" t="s">
        <v>825</v>
      </c>
      <c r="C23" s="158" t="s">
        <v>180</v>
      </c>
      <c r="D23" s="158">
        <v>2</v>
      </c>
      <c r="F23" s="223">
        <f>E23*D23</f>
        <v>0</v>
      </c>
    </row>
    <row r="24" spans="1:6">
      <c r="A24" s="218"/>
      <c r="B24" s="350"/>
      <c r="C24" s="309"/>
      <c r="D24" s="219"/>
    </row>
    <row r="25" spans="1:6" s="112" customFormat="1">
      <c r="A25" s="283"/>
      <c r="B25" s="288" t="s">
        <v>188</v>
      </c>
      <c r="C25" s="213"/>
      <c r="D25" s="284"/>
      <c r="E25" s="214"/>
      <c r="F25" s="214">
        <f>SUM(F8:F24)</f>
        <v>0</v>
      </c>
    </row>
    <row r="27" spans="1:6">
      <c r="B27" s="204"/>
    </row>
    <row r="28" spans="1:6">
      <c r="B28" s="205"/>
    </row>
  </sheetData>
  <mergeCells count="9">
    <mergeCell ref="B14:E14"/>
    <mergeCell ref="B15:E15"/>
    <mergeCell ref="B16:E16"/>
    <mergeCell ref="B12:E12"/>
    <mergeCell ref="B7:E7"/>
    <mergeCell ref="B8:E8"/>
    <mergeCell ref="B10:E10"/>
    <mergeCell ref="B11:E11"/>
    <mergeCell ref="B13:E13"/>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Zeros="0" view="pageBreakPreview" zoomScale="130" zoomScaleNormal="100" zoomScaleSheetLayoutView="130" workbookViewId="0">
      <selection activeCell="B7" sqref="B7"/>
    </sheetView>
  </sheetViews>
  <sheetFormatPr defaultColWidth="9.140625" defaultRowHeight="12.75"/>
  <cols>
    <col min="1" max="1" width="5" style="230" customWidth="1"/>
    <col min="2" max="2" width="53.28515625" style="233" customWidth="1"/>
    <col min="3" max="3" width="5.7109375" style="223" bestFit="1" customWidth="1"/>
    <col min="4" max="4" width="9.28515625" style="223" customWidth="1"/>
    <col min="5" max="5" width="9.28515625" style="223" bestFit="1" customWidth="1" collapsed="1"/>
    <col min="6" max="6" width="10.140625" style="223" bestFit="1" customWidth="1"/>
    <col min="7" max="10" width="9.140625" style="109"/>
    <col min="11" max="16384" width="9.140625" style="109" collapsed="1"/>
  </cols>
  <sheetData>
    <row r="1" spans="1:6">
      <c r="A1" s="206">
        <v>2</v>
      </c>
      <c r="B1" s="207" t="s">
        <v>663</v>
      </c>
      <c r="C1" s="209"/>
      <c r="D1" s="209"/>
      <c r="E1" s="229"/>
      <c r="F1" s="229"/>
    </row>
    <row r="2" spans="1:6">
      <c r="A2" s="211"/>
      <c r="B2" s="212"/>
      <c r="C2" s="214"/>
      <c r="D2" s="214"/>
      <c r="E2" s="209"/>
      <c r="F2" s="209"/>
    </row>
    <row r="3" spans="1:6" ht="25.5">
      <c r="A3" s="215" t="s">
        <v>173</v>
      </c>
      <c r="B3" s="168" t="s">
        <v>174</v>
      </c>
      <c r="C3" s="281" t="s">
        <v>175</v>
      </c>
      <c r="D3" s="217" t="s">
        <v>176</v>
      </c>
      <c r="E3" s="246" t="s">
        <v>302</v>
      </c>
      <c r="F3" s="202" t="s">
        <v>303</v>
      </c>
    </row>
    <row r="4" spans="1:6">
      <c r="A4" s="218"/>
      <c r="B4" s="172"/>
      <c r="C4" s="282"/>
      <c r="D4" s="219"/>
    </row>
    <row r="5" spans="1:6">
      <c r="A5" s="218"/>
      <c r="B5" s="469" t="s">
        <v>460</v>
      </c>
      <c r="C5" s="469"/>
      <c r="D5" s="469"/>
      <c r="E5" s="469"/>
    </row>
    <row r="6" spans="1:6">
      <c r="A6" s="218"/>
      <c r="B6" s="349"/>
      <c r="C6" s="349"/>
      <c r="D6" s="349"/>
      <c r="E6" s="349"/>
    </row>
    <row r="7" spans="1:6" ht="121.5" customHeight="1">
      <c r="A7" s="218" t="s">
        <v>179</v>
      </c>
      <c r="B7" s="349" t="s">
        <v>803</v>
      </c>
      <c r="C7" s="348" t="s">
        <v>106</v>
      </c>
      <c r="D7" s="348">
        <v>7</v>
      </c>
      <c r="E7" s="348"/>
      <c r="F7" s="225">
        <f>E7*D7</f>
        <v>0</v>
      </c>
    </row>
    <row r="8" spans="1:6">
      <c r="A8" s="218"/>
      <c r="B8" s="349"/>
      <c r="C8" s="349"/>
      <c r="D8" s="349"/>
      <c r="E8" s="349"/>
    </row>
    <row r="9" spans="1:6" ht="102">
      <c r="A9" s="218" t="s">
        <v>181</v>
      </c>
      <c r="B9" s="349" t="s">
        <v>804</v>
      </c>
      <c r="C9" s="348" t="s">
        <v>106</v>
      </c>
      <c r="D9" s="348">
        <v>2</v>
      </c>
      <c r="E9" s="348"/>
      <c r="F9" s="225">
        <f>E9*D9</f>
        <v>0</v>
      </c>
    </row>
    <row r="10" spans="1:6">
      <c r="A10" s="218"/>
      <c r="B10" s="350"/>
      <c r="C10" s="282"/>
      <c r="D10" s="219"/>
    </row>
    <row r="11" spans="1:6" s="112" customFormat="1">
      <c r="A11" s="283"/>
      <c r="B11" s="242" t="s">
        <v>456</v>
      </c>
      <c r="C11" s="214"/>
      <c r="D11" s="284"/>
      <c r="E11" s="214"/>
      <c r="F11" s="214">
        <f>SUM(F5:F10)</f>
        <v>0</v>
      </c>
    </row>
  </sheetData>
  <mergeCells count="1">
    <mergeCell ref="B5:E5"/>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Zeros="0" view="pageBreakPreview" topLeftCell="A43" zoomScale="115" zoomScaleNormal="100" zoomScaleSheetLayoutView="115" workbookViewId="0">
      <selection activeCell="B58" sqref="B58"/>
    </sheetView>
  </sheetViews>
  <sheetFormatPr defaultColWidth="9.140625" defaultRowHeight="12.75"/>
  <cols>
    <col min="1" max="1" width="5.85546875" style="218" customWidth="1"/>
    <col min="2" max="2" width="40.5703125" style="158" customWidth="1"/>
    <col min="3" max="3" width="6.140625" style="218" customWidth="1"/>
    <col min="4" max="4" width="9.5703125" style="225" customWidth="1"/>
    <col min="5" max="5" width="9.140625" style="225" collapsed="1"/>
    <col min="6" max="6" width="9.140625" style="225"/>
    <col min="7" max="10" width="9.140625" style="109"/>
    <col min="11" max="16384" width="9.140625" style="109" collapsed="1"/>
  </cols>
  <sheetData>
    <row r="1" spans="1:6" s="153" customFormat="1">
      <c r="A1" s="358">
        <v>3</v>
      </c>
      <c r="B1" s="161" t="s">
        <v>668</v>
      </c>
      <c r="C1" s="300"/>
      <c r="D1" s="291"/>
      <c r="E1" s="316"/>
      <c r="F1" s="316"/>
    </row>
    <row r="2" spans="1:6">
      <c r="A2" s="359"/>
      <c r="B2" s="164"/>
      <c r="C2" s="283"/>
      <c r="D2" s="292"/>
      <c r="E2" s="291"/>
      <c r="F2" s="291"/>
    </row>
    <row r="3" spans="1:6" ht="25.5">
      <c r="A3" s="360" t="s">
        <v>173</v>
      </c>
      <c r="B3" s="168" t="s">
        <v>174</v>
      </c>
      <c r="C3" s="301" t="s">
        <v>175</v>
      </c>
      <c r="D3" s="291" t="s">
        <v>176</v>
      </c>
      <c r="E3" s="317" t="s">
        <v>302</v>
      </c>
      <c r="F3" s="316" t="s">
        <v>303</v>
      </c>
    </row>
    <row r="4" spans="1:6" ht="54" customHeight="1">
      <c r="B4" s="467" t="s">
        <v>464</v>
      </c>
      <c r="C4" s="467"/>
      <c r="D4" s="467"/>
      <c r="E4" s="467"/>
      <c r="F4" s="467"/>
    </row>
    <row r="5" spans="1:6">
      <c r="B5" s="347" t="s">
        <v>465</v>
      </c>
      <c r="C5" s="285"/>
      <c r="D5" s="297"/>
      <c r="E5" s="297"/>
      <c r="F5" s="297"/>
    </row>
    <row r="6" spans="1:6" ht="28.5" customHeight="1">
      <c r="B6" s="473" t="s">
        <v>472</v>
      </c>
      <c r="C6" s="467"/>
      <c r="D6" s="467"/>
      <c r="E6" s="467"/>
      <c r="F6" s="467"/>
    </row>
    <row r="7" spans="1:6">
      <c r="B7" s="347" t="s">
        <v>612</v>
      </c>
      <c r="C7" s="285"/>
      <c r="D7" s="297"/>
      <c r="E7" s="297"/>
      <c r="F7" s="297"/>
    </row>
    <row r="8" spans="1:6" ht="38.25">
      <c r="B8" s="347" t="s">
        <v>466</v>
      </c>
      <c r="C8" s="285"/>
      <c r="D8" s="297"/>
      <c r="E8" s="297"/>
      <c r="F8" s="297"/>
    </row>
    <row r="9" spans="1:6">
      <c r="B9" s="260" t="s">
        <v>467</v>
      </c>
      <c r="C9" s="285"/>
      <c r="D9" s="297"/>
      <c r="E9" s="297"/>
      <c r="F9" s="297"/>
    </row>
    <row r="10" spans="1:6">
      <c r="B10" s="260" t="s">
        <v>468</v>
      </c>
      <c r="C10" s="285"/>
      <c r="D10" s="297"/>
      <c r="E10" s="297"/>
      <c r="F10" s="297"/>
    </row>
    <row r="11" spans="1:6" ht="63.75">
      <c r="B11" s="347" t="s">
        <v>542</v>
      </c>
      <c r="C11" s="285"/>
      <c r="D11" s="297"/>
      <c r="E11" s="297"/>
      <c r="F11" s="297"/>
    </row>
    <row r="12" spans="1:6">
      <c r="B12" s="347" t="s">
        <v>540</v>
      </c>
      <c r="C12" s="285"/>
      <c r="D12" s="297"/>
      <c r="E12" s="297"/>
      <c r="F12" s="297"/>
    </row>
    <row r="13" spans="1:6">
      <c r="B13" s="347" t="s">
        <v>539</v>
      </c>
      <c r="C13" s="285"/>
      <c r="D13" s="297"/>
      <c r="E13" s="297"/>
      <c r="F13" s="297"/>
    </row>
    <row r="14" spans="1:6">
      <c r="B14" s="347" t="s">
        <v>541</v>
      </c>
      <c r="C14" s="285"/>
      <c r="D14" s="297"/>
      <c r="E14" s="297"/>
      <c r="F14" s="297"/>
    </row>
    <row r="15" spans="1:6">
      <c r="B15" s="260"/>
      <c r="C15" s="285"/>
      <c r="D15" s="297"/>
      <c r="E15" s="297"/>
      <c r="F15" s="297"/>
    </row>
    <row r="16" spans="1:6" ht="15" customHeight="1">
      <c r="B16" s="473" t="s">
        <v>473</v>
      </c>
      <c r="C16" s="467"/>
      <c r="D16" s="467"/>
      <c r="E16" s="467"/>
      <c r="F16" s="467"/>
    </row>
    <row r="17" spans="1:6" ht="25.5">
      <c r="B17" s="347" t="s">
        <v>470</v>
      </c>
      <c r="C17" s="285"/>
      <c r="D17" s="297"/>
      <c r="E17" s="297"/>
      <c r="F17" s="297"/>
    </row>
    <row r="18" spans="1:6" ht="25.5">
      <c r="B18" s="347" t="s">
        <v>469</v>
      </c>
      <c r="C18" s="285"/>
      <c r="D18" s="297"/>
      <c r="E18" s="297"/>
      <c r="F18" s="297"/>
    </row>
    <row r="19" spans="1:6">
      <c r="B19" s="347"/>
      <c r="C19" s="294"/>
      <c r="D19" s="293"/>
      <c r="E19" s="293"/>
      <c r="F19" s="293"/>
    </row>
    <row r="20" spans="1:6" ht="25.5">
      <c r="B20" s="280" t="s">
        <v>478</v>
      </c>
      <c r="C20" s="296"/>
      <c r="D20" s="295"/>
      <c r="E20" s="295"/>
      <c r="F20" s="295"/>
    </row>
    <row r="21" spans="1:6" ht="55.5" customHeight="1">
      <c r="B21" s="302" t="s">
        <v>489</v>
      </c>
      <c r="C21" s="294"/>
      <c r="D21" s="293"/>
      <c r="E21" s="293"/>
      <c r="F21" s="293"/>
    </row>
    <row r="22" spans="1:6">
      <c r="B22" s="286"/>
      <c r="C22" s="348"/>
      <c r="E22" s="318"/>
    </row>
    <row r="23" spans="1:6" ht="25.5">
      <c r="A23" s="218" t="s">
        <v>179</v>
      </c>
      <c r="B23" s="286" t="s">
        <v>474</v>
      </c>
      <c r="C23" s="348" t="s">
        <v>106</v>
      </c>
      <c r="D23" s="225">
        <f>D24+D25</f>
        <v>280</v>
      </c>
      <c r="E23" s="318"/>
      <c r="F23" s="225">
        <f>E23*D23</f>
        <v>0</v>
      </c>
    </row>
    <row r="24" spans="1:6">
      <c r="B24" s="290" t="s">
        <v>490</v>
      </c>
      <c r="C24" s="235"/>
      <c r="D24" s="298">
        <v>100</v>
      </c>
      <c r="E24" s="318"/>
    </row>
    <row r="25" spans="1:6">
      <c r="B25" s="290" t="s">
        <v>482</v>
      </c>
      <c r="C25" s="235"/>
      <c r="D25" s="298">
        <v>180</v>
      </c>
      <c r="E25" s="318"/>
    </row>
    <row r="26" spans="1:6">
      <c r="B26" s="286"/>
      <c r="C26" s="348"/>
      <c r="E26" s="318"/>
    </row>
    <row r="27" spans="1:6">
      <c r="A27" s="218" t="s">
        <v>181</v>
      </c>
      <c r="B27" s="286" t="s">
        <v>475</v>
      </c>
      <c r="C27" s="348" t="s">
        <v>106</v>
      </c>
      <c r="D27" s="225">
        <f>D28</f>
        <v>20</v>
      </c>
      <c r="E27" s="318"/>
      <c r="F27" s="225">
        <f>E27*D27</f>
        <v>0</v>
      </c>
    </row>
    <row r="28" spans="1:6">
      <c r="B28" s="290" t="s">
        <v>481</v>
      </c>
      <c r="C28" s="348"/>
      <c r="D28" s="299">
        <v>20</v>
      </c>
      <c r="E28" s="318"/>
    </row>
    <row r="29" spans="1:6">
      <c r="B29" s="286"/>
      <c r="C29" s="348"/>
      <c r="E29" s="318"/>
    </row>
    <row r="30" spans="1:6">
      <c r="A30" s="218" t="s">
        <v>109</v>
      </c>
      <c r="B30" s="286" t="s">
        <v>476</v>
      </c>
      <c r="C30" s="348" t="s">
        <v>106</v>
      </c>
      <c r="D30" s="225">
        <v>10</v>
      </c>
      <c r="E30" s="318"/>
      <c r="F30" s="225">
        <f>E30*D30</f>
        <v>0</v>
      </c>
    </row>
    <row r="31" spans="1:6">
      <c r="B31" s="286" t="s">
        <v>483</v>
      </c>
      <c r="C31" s="348"/>
      <c r="E31" s="318"/>
    </row>
    <row r="32" spans="1:6">
      <c r="B32" s="286"/>
      <c r="C32" s="348"/>
      <c r="E32" s="318"/>
    </row>
    <row r="33" spans="1:6">
      <c r="A33" s="218" t="s">
        <v>110</v>
      </c>
      <c r="B33" s="286" t="s">
        <v>477</v>
      </c>
      <c r="C33" s="348" t="s">
        <v>106</v>
      </c>
      <c r="D33" s="225">
        <v>6</v>
      </c>
      <c r="E33" s="318"/>
      <c r="F33" s="225">
        <f>E33*D33</f>
        <v>0</v>
      </c>
    </row>
    <row r="34" spans="1:6">
      <c r="B34" s="286" t="s">
        <v>484</v>
      </c>
      <c r="C34" s="348"/>
      <c r="E34" s="318"/>
    </row>
    <row r="35" spans="1:6">
      <c r="B35" s="286"/>
      <c r="C35" s="348"/>
      <c r="E35" s="318"/>
    </row>
    <row r="36" spans="1:6" ht="51">
      <c r="A36" s="218" t="s">
        <v>111</v>
      </c>
      <c r="B36" s="286" t="s">
        <v>530</v>
      </c>
      <c r="C36" s="348" t="s">
        <v>106</v>
      </c>
      <c r="D36" s="225">
        <v>6</v>
      </c>
      <c r="E36" s="318"/>
      <c r="F36" s="225">
        <f>E36*D36</f>
        <v>0</v>
      </c>
    </row>
    <row r="37" spans="1:6">
      <c r="B37" s="286"/>
      <c r="C37" s="348"/>
      <c r="E37" s="318"/>
    </row>
    <row r="38" spans="1:6" ht="38.25">
      <c r="A38" s="218" t="s">
        <v>112</v>
      </c>
      <c r="B38" s="286" t="s">
        <v>529</v>
      </c>
      <c r="C38" s="348" t="s">
        <v>106</v>
      </c>
      <c r="D38" s="225">
        <v>25</v>
      </c>
      <c r="E38" s="318"/>
      <c r="F38" s="225">
        <f>E38*D38</f>
        <v>0</v>
      </c>
    </row>
    <row r="39" spans="1:6">
      <c r="B39" s="286"/>
      <c r="C39" s="348"/>
      <c r="E39" s="318"/>
    </row>
    <row r="40" spans="1:6" ht="25.5">
      <c r="A40" s="218" t="s">
        <v>113</v>
      </c>
      <c r="B40" s="348" t="s">
        <v>533</v>
      </c>
      <c r="C40" s="348" t="s">
        <v>106</v>
      </c>
      <c r="D40" s="225">
        <v>40</v>
      </c>
      <c r="E40" s="318"/>
      <c r="F40" s="225">
        <f>E40*D40</f>
        <v>0</v>
      </c>
    </row>
    <row r="41" spans="1:6">
      <c r="B41" s="348"/>
      <c r="C41" s="348"/>
      <c r="E41" s="318"/>
    </row>
    <row r="42" spans="1:6" ht="38.25">
      <c r="A42" s="218" t="s">
        <v>114</v>
      </c>
      <c r="B42" s="348" t="s">
        <v>534</v>
      </c>
      <c r="C42" s="348" t="s">
        <v>528</v>
      </c>
      <c r="D42" s="225">
        <v>300</v>
      </c>
      <c r="E42" s="318"/>
      <c r="F42" s="225">
        <f>E42*D42</f>
        <v>0</v>
      </c>
    </row>
    <row r="43" spans="1:6">
      <c r="B43" s="348"/>
      <c r="C43" s="348"/>
      <c r="E43" s="318"/>
    </row>
    <row r="44" spans="1:6" ht="25.5">
      <c r="A44" s="218" t="s">
        <v>115</v>
      </c>
      <c r="B44" s="348" t="s">
        <v>531</v>
      </c>
      <c r="C44" s="348" t="s">
        <v>106</v>
      </c>
      <c r="D44" s="225">
        <v>40</v>
      </c>
      <c r="E44" s="318"/>
      <c r="F44" s="225">
        <f>E44*D44</f>
        <v>0</v>
      </c>
    </row>
    <row r="45" spans="1:6">
      <c r="B45" s="348"/>
      <c r="C45" s="348"/>
      <c r="E45" s="318"/>
    </row>
    <row r="46" spans="1:6">
      <c r="A46" s="218" t="s">
        <v>116</v>
      </c>
      <c r="B46" s="348" t="s">
        <v>532</v>
      </c>
      <c r="C46" s="348" t="s">
        <v>106</v>
      </c>
      <c r="D46" s="225">
        <v>40</v>
      </c>
      <c r="E46" s="318"/>
      <c r="F46" s="225">
        <f>E46*D46</f>
        <v>0</v>
      </c>
    </row>
    <row r="47" spans="1:6">
      <c r="B47" s="348"/>
      <c r="C47" s="348"/>
      <c r="E47" s="318"/>
    </row>
    <row r="48" spans="1:6" ht="25.5">
      <c r="A48" s="218" t="s">
        <v>117</v>
      </c>
      <c r="B48" s="348" t="s">
        <v>535</v>
      </c>
      <c r="C48" s="348" t="s">
        <v>106</v>
      </c>
      <c r="D48" s="225">
        <f>4*10*10</f>
        <v>400</v>
      </c>
      <c r="E48" s="318"/>
      <c r="F48" s="225">
        <f>E48*D48</f>
        <v>0</v>
      </c>
    </row>
    <row r="49" spans="1:6">
      <c r="B49" s="348"/>
      <c r="C49" s="348"/>
      <c r="E49" s="318"/>
    </row>
    <row r="50" spans="1:6" ht="25.5">
      <c r="A50" s="218" t="s">
        <v>118</v>
      </c>
      <c r="B50" s="348" t="s">
        <v>536</v>
      </c>
      <c r="C50" s="348" t="s">
        <v>106</v>
      </c>
      <c r="D50" s="225">
        <f>8*5</f>
        <v>40</v>
      </c>
      <c r="E50" s="318"/>
      <c r="F50" s="225">
        <f>E50*D50</f>
        <v>0</v>
      </c>
    </row>
    <row r="51" spans="1:6">
      <c r="B51" s="348"/>
      <c r="C51" s="348"/>
      <c r="E51" s="318"/>
    </row>
    <row r="52" spans="1:6" ht="38.25">
      <c r="A52" s="218" t="s">
        <v>119</v>
      </c>
      <c r="B52" s="348" t="s">
        <v>538</v>
      </c>
      <c r="C52" s="348"/>
      <c r="D52" s="225">
        <f>7.85*0.5*20*20</f>
        <v>1570</v>
      </c>
      <c r="E52" s="318"/>
      <c r="F52" s="225">
        <f>E52*D52</f>
        <v>0</v>
      </c>
    </row>
    <row r="53" spans="1:6">
      <c r="B53" s="348"/>
      <c r="C53" s="348"/>
      <c r="E53" s="318"/>
    </row>
    <row r="54" spans="1:6" ht="38.25">
      <c r="A54" s="218" t="s">
        <v>120</v>
      </c>
      <c r="B54" s="348" t="s">
        <v>537</v>
      </c>
      <c r="C54" s="348"/>
      <c r="D54" s="225">
        <f>7.85*0.5*20*20</f>
        <v>1570</v>
      </c>
      <c r="E54" s="318"/>
      <c r="F54" s="225">
        <f>E54*D54</f>
        <v>0</v>
      </c>
    </row>
    <row r="55" spans="1:6">
      <c r="B55" s="286"/>
      <c r="C55" s="348"/>
      <c r="E55" s="318"/>
    </row>
    <row r="56" spans="1:6">
      <c r="B56" s="287" t="s">
        <v>471</v>
      </c>
      <c r="C56" s="348"/>
      <c r="E56" s="318"/>
    </row>
    <row r="57" spans="1:6" ht="25.5">
      <c r="B57" s="286" t="s">
        <v>479</v>
      </c>
      <c r="C57" s="348"/>
      <c r="E57" s="318"/>
    </row>
    <row r="58" spans="1:6" ht="25.5">
      <c r="A58" s="218" t="s">
        <v>122</v>
      </c>
      <c r="B58" s="286" t="s">
        <v>487</v>
      </c>
      <c r="C58" s="348" t="s">
        <v>106</v>
      </c>
      <c r="D58" s="225">
        <v>3</v>
      </c>
      <c r="E58" s="318"/>
      <c r="F58" s="225">
        <f>E58*D58</f>
        <v>0</v>
      </c>
    </row>
    <row r="59" spans="1:6">
      <c r="B59" s="286"/>
      <c r="C59" s="348"/>
      <c r="E59" s="318"/>
    </row>
    <row r="60" spans="1:6" ht="25.5">
      <c r="A60" s="218" t="s">
        <v>123</v>
      </c>
      <c r="B60" s="286" t="s">
        <v>480</v>
      </c>
      <c r="C60" s="348" t="s">
        <v>106</v>
      </c>
      <c r="D60" s="225">
        <v>3</v>
      </c>
      <c r="E60" s="318"/>
      <c r="F60" s="225">
        <f>E60*D60</f>
        <v>0</v>
      </c>
    </row>
    <row r="61" spans="1:6">
      <c r="B61" s="286"/>
      <c r="C61" s="348"/>
      <c r="E61" s="318"/>
    </row>
    <row r="62" spans="1:6" ht="89.25">
      <c r="A62" s="218" t="s">
        <v>124</v>
      </c>
      <c r="B62" s="286" t="s">
        <v>543</v>
      </c>
      <c r="C62" s="348" t="s">
        <v>106</v>
      </c>
      <c r="D62" s="225">
        <f>D63+D64</f>
        <v>201</v>
      </c>
      <c r="E62" s="318"/>
      <c r="F62" s="225">
        <f>E62*D62</f>
        <v>0</v>
      </c>
    </row>
    <row r="63" spans="1:6" ht="38.25">
      <c r="B63" s="290" t="s">
        <v>486</v>
      </c>
      <c r="C63" s="235"/>
      <c r="D63" s="298">
        <v>60</v>
      </c>
      <c r="E63" s="318"/>
    </row>
    <row r="64" spans="1:6" ht="38.25">
      <c r="B64" s="290" t="s">
        <v>485</v>
      </c>
      <c r="C64" s="235"/>
      <c r="D64" s="298">
        <v>141</v>
      </c>
      <c r="E64" s="318"/>
    </row>
    <row r="65" spans="1:6">
      <c r="B65" s="290"/>
      <c r="C65" s="235"/>
      <c r="D65" s="298"/>
      <c r="E65" s="318"/>
    </row>
    <row r="66" spans="1:6" ht="165.75">
      <c r="A66" s="218" t="s">
        <v>125</v>
      </c>
      <c r="B66" s="347" t="s">
        <v>488</v>
      </c>
      <c r="C66" s="347" t="s">
        <v>180</v>
      </c>
      <c r="D66" s="295">
        <v>3</v>
      </c>
      <c r="E66" s="297"/>
      <c r="F66" s="225">
        <f>E66*D66</f>
        <v>0</v>
      </c>
    </row>
    <row r="67" spans="1:6">
      <c r="B67" s="347"/>
      <c r="C67" s="347"/>
      <c r="D67" s="295"/>
      <c r="E67" s="297"/>
    </row>
    <row r="68" spans="1:6" ht="76.5">
      <c r="A68" s="218" t="s">
        <v>126</v>
      </c>
      <c r="B68" s="347" t="s">
        <v>497</v>
      </c>
      <c r="C68" s="347" t="s">
        <v>104</v>
      </c>
      <c r="D68" s="295">
        <f>D72+D73+D74</f>
        <v>307.05</v>
      </c>
      <c r="E68" s="297"/>
      <c r="F68" s="225">
        <f>E68*D68</f>
        <v>0</v>
      </c>
    </row>
    <row r="69" spans="1:6" ht="153">
      <c r="B69" s="347" t="s">
        <v>494</v>
      </c>
      <c r="C69" s="347"/>
      <c r="D69" s="295"/>
      <c r="E69" s="297"/>
    </row>
    <row r="70" spans="1:6" ht="127.5">
      <c r="B70" s="347" t="s">
        <v>495</v>
      </c>
      <c r="C70" s="347"/>
      <c r="D70" s="295"/>
      <c r="E70" s="297"/>
    </row>
    <row r="71" spans="1:6" ht="344.25">
      <c r="B71" s="347" t="s">
        <v>496</v>
      </c>
      <c r="C71" s="347"/>
      <c r="D71" s="295"/>
      <c r="E71" s="297"/>
    </row>
    <row r="72" spans="1:6">
      <c r="B72" s="474" t="s">
        <v>491</v>
      </c>
      <c r="C72" s="474"/>
      <c r="D72" s="475">
        <v>67.44</v>
      </c>
      <c r="E72" s="297"/>
    </row>
    <row r="73" spans="1:6">
      <c r="B73" s="474" t="s">
        <v>492</v>
      </c>
      <c r="C73" s="474"/>
      <c r="D73" s="475">
        <v>187.61</v>
      </c>
      <c r="E73" s="297"/>
    </row>
    <row r="74" spans="1:6">
      <c r="B74" s="474" t="s">
        <v>493</v>
      </c>
      <c r="C74" s="474"/>
      <c r="D74" s="475">
        <f>(20.16+5.84)*2</f>
        <v>52</v>
      </c>
      <c r="E74" s="297"/>
    </row>
    <row r="75" spans="1:6">
      <c r="B75" s="347"/>
      <c r="C75" s="347"/>
      <c r="D75" s="295"/>
      <c r="E75" s="297"/>
    </row>
    <row r="76" spans="1:6" ht="81.75" customHeight="1">
      <c r="A76" s="218" t="s">
        <v>127</v>
      </c>
      <c r="B76" s="350" t="s">
        <v>633</v>
      </c>
      <c r="C76" s="218" t="s">
        <v>106</v>
      </c>
      <c r="D76" s="225">
        <v>3</v>
      </c>
      <c r="F76" s="225">
        <f>E76*D76</f>
        <v>0</v>
      </c>
    </row>
    <row r="77" spans="1:6">
      <c r="B77" s="350"/>
    </row>
    <row r="78" spans="1:6" s="112" customFormat="1">
      <c r="A78" s="283"/>
      <c r="B78" s="288" t="s">
        <v>463</v>
      </c>
      <c r="C78" s="283"/>
      <c r="D78" s="292"/>
      <c r="E78" s="292"/>
      <c r="F78" s="292">
        <f>SUM(F23:F76)</f>
        <v>0</v>
      </c>
    </row>
    <row r="80" spans="1:6">
      <c r="B80" s="204"/>
    </row>
    <row r="81" spans="2:2">
      <c r="B81" s="205"/>
    </row>
    <row r="82" spans="2:2">
      <c r="B82" s="289"/>
    </row>
  </sheetData>
  <mergeCells count="3">
    <mergeCell ref="B16:F16"/>
    <mergeCell ref="B4:F4"/>
    <mergeCell ref="B6:F6"/>
  </mergeCells>
  <phoneticPr fontId="0" type="noConversion"/>
  <printOptions horizontalCentered="1"/>
  <pageMargins left="0.98425196850393704" right="0.39370078740157483" top="0.98425196850393704" bottom="0.78740157480314965" header="0.51181102362204722" footer="0.51181102362204722"/>
  <pageSetup paperSize="9" fitToHeight="100" orientation="portrait" r:id="rId1"/>
  <headerFooter alignWithMargins="0">
    <oddHeader>&amp;L&amp;8&amp;F&amp;R&amp;8&amp;Pod &amp;N</oddHeader>
    <oddFooter>&amp;C&amp;8&amp;A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0"/>
  <sheetViews>
    <sheetView showZeros="0" view="pageBreakPreview" zoomScale="110" zoomScaleNormal="100" zoomScaleSheetLayoutView="110" workbookViewId="0">
      <selection activeCell="B108" sqref="B108"/>
    </sheetView>
  </sheetViews>
  <sheetFormatPr defaultColWidth="9.140625" defaultRowHeight="12.75"/>
  <cols>
    <col min="1" max="1" width="5.85546875" style="408" customWidth="1"/>
    <col min="2" max="2" width="40.5703125" style="319" customWidth="1"/>
    <col min="3" max="3" width="6.140625" style="319" customWidth="1"/>
    <col min="4" max="4" width="9.5703125" style="253" customWidth="1"/>
    <col min="5" max="5" width="9.140625" style="253" collapsed="1"/>
    <col min="6" max="6" width="9.140625" style="253"/>
    <col min="7" max="10" width="9.140625" style="109"/>
    <col min="11" max="16384" width="9.140625" style="109" collapsed="1"/>
  </cols>
  <sheetData>
    <row r="1" spans="1:6" s="153" customFormat="1">
      <c r="A1" s="421">
        <v>4</v>
      </c>
      <c r="B1" s="373" t="s">
        <v>462</v>
      </c>
      <c r="C1" s="374"/>
      <c r="D1" s="375"/>
      <c r="E1" s="376"/>
      <c r="F1" s="376"/>
    </row>
    <row r="2" spans="1:6">
      <c r="A2" s="422"/>
      <c r="B2" s="377"/>
      <c r="C2" s="378"/>
      <c r="D2" s="379"/>
      <c r="E2" s="375"/>
      <c r="F2" s="375"/>
    </row>
    <row r="3" spans="1:6" ht="25.5">
      <c r="A3" s="423" t="s">
        <v>173</v>
      </c>
      <c r="B3" s="380" t="s">
        <v>174</v>
      </c>
      <c r="C3" s="381" t="s">
        <v>175</v>
      </c>
      <c r="D3" s="382" t="s">
        <v>176</v>
      </c>
      <c r="E3" s="383" t="s">
        <v>302</v>
      </c>
      <c r="F3" s="384" t="s">
        <v>303</v>
      </c>
    </row>
    <row r="4" spans="1:6">
      <c r="B4" s="385"/>
      <c r="C4" s="386"/>
      <c r="D4" s="387"/>
      <c r="E4" s="388"/>
      <c r="F4" s="222"/>
    </row>
    <row r="5" spans="1:6" ht="55.5" customHeight="1">
      <c r="B5" s="467" t="s">
        <v>771</v>
      </c>
      <c r="C5" s="467"/>
      <c r="D5" s="467"/>
      <c r="E5" s="467"/>
      <c r="F5" s="467"/>
    </row>
    <row r="6" spans="1:6">
      <c r="B6" s="385"/>
      <c r="C6" s="386"/>
      <c r="D6" s="387"/>
      <c r="E6" s="388"/>
      <c r="F6" s="222"/>
    </row>
    <row r="7" spans="1:6">
      <c r="B7" s="385"/>
      <c r="C7" s="386"/>
      <c r="D7" s="387"/>
      <c r="E7" s="388"/>
      <c r="F7" s="222"/>
    </row>
    <row r="8" spans="1:6">
      <c r="A8" s="408" t="s">
        <v>179</v>
      </c>
      <c r="B8" s="389" t="s">
        <v>724</v>
      </c>
      <c r="C8" s="390" t="s">
        <v>180</v>
      </c>
      <c r="D8" s="391">
        <v>1</v>
      </c>
      <c r="E8" s="392">
        <v>0</v>
      </c>
      <c r="F8" s="222">
        <f>E8*D8</f>
        <v>0</v>
      </c>
    </row>
    <row r="9" spans="1:6">
      <c r="B9" s="415" t="s">
        <v>498</v>
      </c>
      <c r="C9" s="416" t="s">
        <v>106</v>
      </c>
      <c r="D9" s="417">
        <v>1</v>
      </c>
      <c r="E9" s="392"/>
      <c r="F9" s="222">
        <f t="shared" ref="F9:F18" si="0">E9*D9</f>
        <v>0</v>
      </c>
    </row>
    <row r="10" spans="1:6">
      <c r="B10" s="415" t="s">
        <v>499</v>
      </c>
      <c r="C10" s="416" t="s">
        <v>106</v>
      </c>
      <c r="D10" s="417">
        <v>1</v>
      </c>
      <c r="E10" s="392"/>
      <c r="F10" s="222">
        <f t="shared" si="0"/>
        <v>0</v>
      </c>
    </row>
    <row r="11" spans="1:6">
      <c r="B11" s="415" t="s">
        <v>500</v>
      </c>
      <c r="C11" s="416" t="s">
        <v>106</v>
      </c>
      <c r="D11" s="417">
        <v>2</v>
      </c>
      <c r="E11" s="392"/>
      <c r="F11" s="222">
        <f t="shared" si="0"/>
        <v>0</v>
      </c>
    </row>
    <row r="12" spans="1:6">
      <c r="B12" s="415" t="s">
        <v>501</v>
      </c>
      <c r="C12" s="416" t="s">
        <v>106</v>
      </c>
      <c r="D12" s="417">
        <v>1</v>
      </c>
      <c r="E12" s="392"/>
      <c r="F12" s="222">
        <f t="shared" si="0"/>
        <v>0</v>
      </c>
    </row>
    <row r="13" spans="1:6">
      <c r="B13" s="415" t="s">
        <v>502</v>
      </c>
      <c r="C13" s="416" t="s">
        <v>106</v>
      </c>
      <c r="D13" s="417">
        <v>2</v>
      </c>
      <c r="E13" s="392"/>
      <c r="F13" s="222">
        <f t="shared" si="0"/>
        <v>0</v>
      </c>
    </row>
    <row r="14" spans="1:6">
      <c r="B14" s="415" t="s">
        <v>503</v>
      </c>
      <c r="C14" s="416" t="s">
        <v>106</v>
      </c>
      <c r="D14" s="417">
        <v>1</v>
      </c>
      <c r="E14" s="392"/>
      <c r="F14" s="222">
        <f t="shared" si="0"/>
        <v>0</v>
      </c>
    </row>
    <row r="15" spans="1:6">
      <c r="B15" s="415" t="s">
        <v>504</v>
      </c>
      <c r="C15" s="416" t="s">
        <v>106</v>
      </c>
      <c r="D15" s="417">
        <v>8</v>
      </c>
      <c r="E15" s="392"/>
      <c r="F15" s="222">
        <f t="shared" si="0"/>
        <v>0</v>
      </c>
    </row>
    <row r="16" spans="1:6">
      <c r="B16" s="415" t="s">
        <v>505</v>
      </c>
      <c r="C16" s="416" t="s">
        <v>180</v>
      </c>
      <c r="D16" s="417">
        <v>1</v>
      </c>
      <c r="E16" s="392"/>
      <c r="F16" s="222">
        <f t="shared" si="0"/>
        <v>0</v>
      </c>
    </row>
    <row r="17" spans="1:6">
      <c r="B17" s="415" t="s">
        <v>506</v>
      </c>
      <c r="C17" s="416" t="s">
        <v>130</v>
      </c>
      <c r="D17" s="417">
        <v>0.5</v>
      </c>
      <c r="E17" s="392"/>
      <c r="F17" s="222">
        <f t="shared" si="0"/>
        <v>0</v>
      </c>
    </row>
    <row r="18" spans="1:6">
      <c r="B18" s="415" t="s">
        <v>507</v>
      </c>
      <c r="C18" s="416" t="s">
        <v>508</v>
      </c>
      <c r="D18" s="417">
        <v>0.5</v>
      </c>
      <c r="E18" s="392"/>
      <c r="F18" s="222">
        <f t="shared" si="0"/>
        <v>0</v>
      </c>
    </row>
    <row r="19" spans="1:6">
      <c r="B19" s="396"/>
      <c r="C19" s="390"/>
      <c r="D19" s="391"/>
      <c r="E19" s="392"/>
      <c r="F19" s="222"/>
    </row>
    <row r="20" spans="1:6" ht="25.5">
      <c r="A20" s="408" t="s">
        <v>181</v>
      </c>
      <c r="B20" s="397" t="s">
        <v>725</v>
      </c>
      <c r="C20" s="394" t="s">
        <v>718</v>
      </c>
      <c r="D20" s="399">
        <v>1</v>
      </c>
      <c r="E20" s="392">
        <v>0</v>
      </c>
      <c r="F20" s="222">
        <f>E20*D20</f>
        <v>0</v>
      </c>
    </row>
    <row r="21" spans="1:6">
      <c r="B21" s="398" t="s">
        <v>592</v>
      </c>
      <c r="C21" s="394" t="s">
        <v>106</v>
      </c>
      <c r="D21" s="395">
        <v>1</v>
      </c>
      <c r="E21" s="392"/>
      <c r="F21" s="222">
        <f t="shared" ref="F21:F24" si="1">E21*D21</f>
        <v>0</v>
      </c>
    </row>
    <row r="22" spans="1:6">
      <c r="B22" s="393" t="s">
        <v>593</v>
      </c>
      <c r="C22" s="394" t="s">
        <v>106</v>
      </c>
      <c r="D22" s="395">
        <v>1</v>
      </c>
      <c r="E22" s="392"/>
      <c r="F22" s="222">
        <f t="shared" si="1"/>
        <v>0</v>
      </c>
    </row>
    <row r="23" spans="1:6">
      <c r="B23" s="393" t="s">
        <v>505</v>
      </c>
      <c r="C23" s="394" t="s">
        <v>180</v>
      </c>
      <c r="D23" s="395">
        <v>1</v>
      </c>
      <c r="E23" s="392"/>
      <c r="F23" s="222">
        <f t="shared" si="1"/>
        <v>0</v>
      </c>
    </row>
    <row r="24" spans="1:6">
      <c r="B24" s="393" t="s">
        <v>594</v>
      </c>
      <c r="C24" s="394" t="s">
        <v>180</v>
      </c>
      <c r="D24" s="395">
        <v>1</v>
      </c>
      <c r="E24" s="392"/>
      <c r="F24" s="222">
        <f t="shared" si="1"/>
        <v>0</v>
      </c>
    </row>
    <row r="25" spans="1:6">
      <c r="B25" s="396"/>
      <c r="C25" s="390"/>
      <c r="D25" s="391"/>
      <c r="E25" s="392"/>
      <c r="F25" s="222"/>
    </row>
    <row r="26" spans="1:6" ht="25.5">
      <c r="A26" s="408" t="s">
        <v>109</v>
      </c>
      <c r="B26" s="397" t="s">
        <v>726</v>
      </c>
      <c r="C26" s="394" t="s">
        <v>718</v>
      </c>
      <c r="D26" s="399">
        <v>1</v>
      </c>
      <c r="E26" s="392">
        <v>0</v>
      </c>
      <c r="F26" s="222">
        <f>E26*D26</f>
        <v>0</v>
      </c>
    </row>
    <row r="27" spans="1:6">
      <c r="B27" s="415" t="s">
        <v>595</v>
      </c>
      <c r="C27" s="416" t="s">
        <v>106</v>
      </c>
      <c r="D27" s="418">
        <v>1</v>
      </c>
      <c r="E27" s="400"/>
      <c r="F27" s="222">
        <f t="shared" ref="F27:F40" si="2">E27*D27</f>
        <v>0</v>
      </c>
    </row>
    <row r="28" spans="1:6">
      <c r="B28" s="415" t="s">
        <v>596</v>
      </c>
      <c r="C28" s="416" t="s">
        <v>106</v>
      </c>
      <c r="D28" s="418">
        <v>1</v>
      </c>
      <c r="E28" s="400"/>
      <c r="F28" s="222">
        <f t="shared" si="2"/>
        <v>0</v>
      </c>
    </row>
    <row r="29" spans="1:6">
      <c r="B29" s="415" t="s">
        <v>597</v>
      </c>
      <c r="C29" s="416" t="s">
        <v>106</v>
      </c>
      <c r="D29" s="418">
        <v>2</v>
      </c>
      <c r="E29" s="400"/>
      <c r="F29" s="222">
        <f t="shared" si="2"/>
        <v>0</v>
      </c>
    </row>
    <row r="30" spans="1:6">
      <c r="B30" s="415" t="s">
        <v>598</v>
      </c>
      <c r="C30" s="416" t="s">
        <v>106</v>
      </c>
      <c r="D30" s="418">
        <v>2</v>
      </c>
      <c r="E30" s="400"/>
      <c r="F30" s="222">
        <f t="shared" si="2"/>
        <v>0</v>
      </c>
    </row>
    <row r="31" spans="1:6">
      <c r="B31" s="415" t="s">
        <v>599</v>
      </c>
      <c r="C31" s="416" t="s">
        <v>106</v>
      </c>
      <c r="D31" s="418">
        <v>1</v>
      </c>
      <c r="E31" s="400"/>
      <c r="F31" s="222">
        <f t="shared" si="2"/>
        <v>0</v>
      </c>
    </row>
    <row r="32" spans="1:6">
      <c r="B32" s="415" t="s">
        <v>600</v>
      </c>
      <c r="C32" s="416" t="s">
        <v>106</v>
      </c>
      <c r="D32" s="418">
        <v>1</v>
      </c>
      <c r="E32" s="400"/>
      <c r="F32" s="222">
        <f t="shared" si="2"/>
        <v>0</v>
      </c>
    </row>
    <row r="33" spans="1:6">
      <c r="B33" s="415" t="s">
        <v>601</v>
      </c>
      <c r="C33" s="416" t="s">
        <v>106</v>
      </c>
      <c r="D33" s="418">
        <v>2</v>
      </c>
      <c r="E33" s="400"/>
      <c r="F33" s="222">
        <f t="shared" si="2"/>
        <v>0</v>
      </c>
    </row>
    <row r="34" spans="1:6">
      <c r="B34" s="415" t="s">
        <v>602</v>
      </c>
      <c r="C34" s="416" t="s">
        <v>106</v>
      </c>
      <c r="D34" s="418">
        <v>3</v>
      </c>
      <c r="E34" s="400"/>
      <c r="F34" s="222">
        <f t="shared" si="2"/>
        <v>0</v>
      </c>
    </row>
    <row r="35" spans="1:6">
      <c r="B35" s="415" t="s">
        <v>603</v>
      </c>
      <c r="C35" s="416" t="s">
        <v>106</v>
      </c>
      <c r="D35" s="418">
        <v>3</v>
      </c>
      <c r="E35" s="400"/>
      <c r="F35" s="222">
        <f t="shared" si="2"/>
        <v>0</v>
      </c>
    </row>
    <row r="36" spans="1:6">
      <c r="B36" s="415" t="s">
        <v>604</v>
      </c>
      <c r="C36" s="416" t="s">
        <v>180</v>
      </c>
      <c r="D36" s="418">
        <v>1</v>
      </c>
      <c r="E36" s="400"/>
      <c r="F36" s="222">
        <f t="shared" si="2"/>
        <v>0</v>
      </c>
    </row>
    <row r="37" spans="1:6">
      <c r="B37" s="415" t="s">
        <v>605</v>
      </c>
      <c r="C37" s="416" t="s">
        <v>106</v>
      </c>
      <c r="D37" s="418">
        <v>1</v>
      </c>
      <c r="E37" s="400"/>
      <c r="F37" s="222">
        <f t="shared" si="2"/>
        <v>0</v>
      </c>
    </row>
    <row r="38" spans="1:6">
      <c r="B38" s="415" t="s">
        <v>606</v>
      </c>
      <c r="C38" s="416" t="s">
        <v>106</v>
      </c>
      <c r="D38" s="418">
        <v>1</v>
      </c>
      <c r="E38" s="400"/>
      <c r="F38" s="222">
        <f t="shared" si="2"/>
        <v>0</v>
      </c>
    </row>
    <row r="39" spans="1:6">
      <c r="B39" s="415" t="s">
        <v>607</v>
      </c>
      <c r="C39" s="416" t="s">
        <v>130</v>
      </c>
      <c r="D39" s="418">
        <v>0.3</v>
      </c>
      <c r="E39" s="400"/>
      <c r="F39" s="222">
        <f t="shared" si="2"/>
        <v>0</v>
      </c>
    </row>
    <row r="40" spans="1:6">
      <c r="B40" s="415" t="s">
        <v>608</v>
      </c>
      <c r="C40" s="416" t="s">
        <v>508</v>
      </c>
      <c r="D40" s="418">
        <v>0.3</v>
      </c>
      <c r="E40" s="400"/>
      <c r="F40" s="222">
        <f t="shared" si="2"/>
        <v>0</v>
      </c>
    </row>
    <row r="41" spans="1:6">
      <c r="C41" s="228"/>
      <c r="D41" s="401"/>
      <c r="E41" s="402"/>
      <c r="F41" s="222"/>
    </row>
    <row r="42" spans="1:6" ht="25.5">
      <c r="A42" s="408" t="s">
        <v>110</v>
      </c>
      <c r="B42" s="414" t="s">
        <v>763</v>
      </c>
      <c r="C42" s="394" t="s">
        <v>718</v>
      </c>
      <c r="D42" s="399">
        <v>1</v>
      </c>
      <c r="E42" s="222">
        <v>0</v>
      </c>
      <c r="F42" s="222">
        <f>E42*D42</f>
        <v>0</v>
      </c>
    </row>
    <row r="43" spans="1:6">
      <c r="B43" s="415" t="s">
        <v>670</v>
      </c>
      <c r="C43" s="416" t="s">
        <v>106</v>
      </c>
      <c r="D43" s="417">
        <v>1</v>
      </c>
      <c r="E43" s="319"/>
      <c r="F43" s="319"/>
    </row>
    <row r="44" spans="1:6">
      <c r="B44" s="415" t="s">
        <v>671</v>
      </c>
      <c r="C44" s="416" t="s">
        <v>106</v>
      </c>
      <c r="D44" s="417">
        <v>1</v>
      </c>
      <c r="E44" s="319"/>
      <c r="F44" s="319"/>
    </row>
    <row r="45" spans="1:6">
      <c r="B45" s="415" t="s">
        <v>672</v>
      </c>
      <c r="C45" s="416" t="s">
        <v>106</v>
      </c>
      <c r="D45" s="417">
        <v>1</v>
      </c>
      <c r="E45" s="319"/>
      <c r="F45" s="319"/>
    </row>
    <row r="46" spans="1:6">
      <c r="B46" s="415" t="s">
        <v>673</v>
      </c>
      <c r="C46" s="416" t="s">
        <v>674</v>
      </c>
      <c r="D46" s="417">
        <v>1</v>
      </c>
      <c r="E46" s="319"/>
      <c r="F46" s="319"/>
    </row>
    <row r="47" spans="1:6">
      <c r="B47" s="415" t="s">
        <v>675</v>
      </c>
      <c r="C47" s="416" t="s">
        <v>106</v>
      </c>
      <c r="D47" s="417">
        <v>4</v>
      </c>
      <c r="E47" s="319"/>
      <c r="F47" s="319"/>
    </row>
    <row r="48" spans="1:6">
      <c r="B48" s="415" t="s">
        <v>607</v>
      </c>
      <c r="C48" s="416" t="s">
        <v>106</v>
      </c>
      <c r="D48" s="417">
        <v>0.1</v>
      </c>
      <c r="E48" s="319"/>
      <c r="F48" s="319"/>
    </row>
    <row r="49" spans="1:6">
      <c r="B49" s="415" t="s">
        <v>608</v>
      </c>
      <c r="C49" s="416" t="s">
        <v>674</v>
      </c>
      <c r="D49" s="417">
        <v>0.1</v>
      </c>
      <c r="E49" s="319"/>
      <c r="F49" s="319"/>
    </row>
    <row r="50" spans="1:6">
      <c r="B50" s="393"/>
      <c r="C50" s="394"/>
      <c r="D50" s="399"/>
      <c r="E50" s="222"/>
      <c r="F50" s="222"/>
    </row>
    <row r="51" spans="1:6">
      <c r="A51" s="408" t="s">
        <v>727</v>
      </c>
      <c r="B51" s="403" t="s">
        <v>728</v>
      </c>
      <c r="C51" s="394" t="s">
        <v>718</v>
      </c>
      <c r="D51" s="399">
        <v>1</v>
      </c>
      <c r="E51" s="222">
        <v>0</v>
      </c>
      <c r="F51" s="222">
        <f>E51*D51</f>
        <v>0</v>
      </c>
    </row>
    <row r="52" spans="1:6">
      <c r="B52" s="415" t="s">
        <v>676</v>
      </c>
      <c r="C52" s="416" t="s">
        <v>106</v>
      </c>
      <c r="D52" s="419">
        <v>1</v>
      </c>
      <c r="E52" s="319"/>
      <c r="F52" s="319"/>
    </row>
    <row r="53" spans="1:6">
      <c r="B53" s="415" t="s">
        <v>677</v>
      </c>
      <c r="C53" s="416" t="s">
        <v>106</v>
      </c>
      <c r="D53" s="419">
        <v>2</v>
      </c>
      <c r="E53" s="319"/>
      <c r="F53" s="319"/>
    </row>
    <row r="54" spans="1:6">
      <c r="B54" s="415" t="s">
        <v>737</v>
      </c>
      <c r="C54" s="416" t="s">
        <v>106</v>
      </c>
      <c r="D54" s="419">
        <v>2</v>
      </c>
      <c r="E54" s="319"/>
      <c r="F54" s="319"/>
    </row>
    <row r="55" spans="1:6">
      <c r="B55" s="415" t="s">
        <v>678</v>
      </c>
      <c r="C55" s="416" t="s">
        <v>106</v>
      </c>
      <c r="D55" s="419">
        <v>2</v>
      </c>
      <c r="E55" s="319"/>
      <c r="F55" s="319"/>
    </row>
    <row r="56" spans="1:6">
      <c r="B56" s="415" t="s">
        <v>738</v>
      </c>
      <c r="C56" s="416" t="s">
        <v>674</v>
      </c>
      <c r="D56" s="417">
        <v>9</v>
      </c>
      <c r="E56" s="319"/>
      <c r="F56" s="319"/>
    </row>
    <row r="57" spans="1:6">
      <c r="B57" s="415" t="s">
        <v>739</v>
      </c>
      <c r="C57" s="416" t="s">
        <v>674</v>
      </c>
      <c r="D57" s="417">
        <v>15</v>
      </c>
      <c r="E57" s="319"/>
      <c r="F57" s="319"/>
    </row>
    <row r="58" spans="1:6">
      <c r="B58" s="415" t="s">
        <v>740</v>
      </c>
      <c r="C58" s="416" t="s">
        <v>106</v>
      </c>
      <c r="D58" s="419">
        <v>12</v>
      </c>
      <c r="E58" s="319"/>
      <c r="F58" s="319"/>
    </row>
    <row r="59" spans="1:6">
      <c r="B59" s="415" t="s">
        <v>741</v>
      </c>
      <c r="C59" s="416" t="s">
        <v>106</v>
      </c>
      <c r="D59" s="419">
        <v>4</v>
      </c>
      <c r="E59" s="319"/>
      <c r="F59" s="319"/>
    </row>
    <row r="60" spans="1:6">
      <c r="B60" s="415" t="s">
        <v>679</v>
      </c>
      <c r="C60" s="416" t="s">
        <v>106</v>
      </c>
      <c r="D60" s="419">
        <v>20</v>
      </c>
      <c r="E60" s="319"/>
      <c r="F60" s="319"/>
    </row>
    <row r="61" spans="1:6">
      <c r="B61" s="415" t="s">
        <v>764</v>
      </c>
      <c r="C61" s="416" t="s">
        <v>106</v>
      </c>
      <c r="D61" s="419">
        <v>2</v>
      </c>
      <c r="E61" s="319"/>
      <c r="F61" s="319"/>
    </row>
    <row r="62" spans="1:6">
      <c r="B62" s="415" t="s">
        <v>680</v>
      </c>
      <c r="C62" s="416" t="s">
        <v>130</v>
      </c>
      <c r="D62" s="417">
        <v>0.5</v>
      </c>
      <c r="E62" s="319"/>
      <c r="F62" s="319"/>
    </row>
    <row r="63" spans="1:6">
      <c r="B63" s="415" t="s">
        <v>681</v>
      </c>
      <c r="C63" s="416" t="s">
        <v>508</v>
      </c>
      <c r="D63" s="417">
        <v>0.5</v>
      </c>
      <c r="E63" s="319"/>
      <c r="F63" s="319"/>
    </row>
    <row r="64" spans="1:6">
      <c r="B64" s="393"/>
      <c r="C64" s="394"/>
      <c r="D64" s="399"/>
      <c r="E64" s="222"/>
      <c r="F64" s="222"/>
    </row>
    <row r="65" spans="1:6" ht="25.5">
      <c r="A65" s="408" t="s">
        <v>112</v>
      </c>
      <c r="B65" s="420" t="s">
        <v>770</v>
      </c>
      <c r="C65" s="394" t="s">
        <v>718</v>
      </c>
      <c r="D65" s="399">
        <v>1</v>
      </c>
      <c r="E65" s="222">
        <v>0</v>
      </c>
      <c r="F65" s="222">
        <f>E65*D65</f>
        <v>0</v>
      </c>
    </row>
    <row r="66" spans="1:6">
      <c r="B66" s="415" t="s">
        <v>682</v>
      </c>
      <c r="C66" s="416" t="s">
        <v>106</v>
      </c>
      <c r="D66" s="417">
        <v>1</v>
      </c>
      <c r="E66" s="319"/>
      <c r="F66" s="319"/>
    </row>
    <row r="67" spans="1:6">
      <c r="B67" s="415" t="s">
        <v>683</v>
      </c>
      <c r="C67" s="416" t="s">
        <v>106</v>
      </c>
      <c r="D67" s="417">
        <v>1</v>
      </c>
      <c r="E67" s="319"/>
      <c r="F67" s="319"/>
    </row>
    <row r="68" spans="1:6">
      <c r="B68" s="415" t="s">
        <v>742</v>
      </c>
      <c r="C68" s="416" t="s">
        <v>106</v>
      </c>
      <c r="D68" s="417">
        <v>1</v>
      </c>
      <c r="E68" s="319"/>
      <c r="F68" s="319"/>
    </row>
    <row r="69" spans="1:6">
      <c r="B69" s="415" t="s">
        <v>684</v>
      </c>
      <c r="C69" s="416" t="s">
        <v>106</v>
      </c>
      <c r="D69" s="417">
        <v>1</v>
      </c>
      <c r="E69" s="319"/>
      <c r="F69" s="319"/>
    </row>
    <row r="70" spans="1:6">
      <c r="B70" s="415" t="s">
        <v>685</v>
      </c>
      <c r="C70" s="416" t="s">
        <v>106</v>
      </c>
      <c r="D70" s="417">
        <v>1</v>
      </c>
      <c r="E70" s="319"/>
      <c r="F70" s="319"/>
    </row>
    <row r="71" spans="1:6">
      <c r="B71" s="415" t="s">
        <v>686</v>
      </c>
      <c r="C71" s="416" t="s">
        <v>106</v>
      </c>
      <c r="D71" s="417">
        <v>1</v>
      </c>
      <c r="E71" s="319"/>
      <c r="F71" s="319"/>
    </row>
    <row r="72" spans="1:6">
      <c r="B72" s="415" t="s">
        <v>687</v>
      </c>
      <c r="C72" s="416" t="s">
        <v>106</v>
      </c>
      <c r="D72" s="417">
        <v>1</v>
      </c>
      <c r="E72" s="319"/>
      <c r="F72" s="319"/>
    </row>
    <row r="73" spans="1:6">
      <c r="B73" s="393"/>
      <c r="C73" s="394"/>
      <c r="D73" s="395"/>
      <c r="E73" s="319"/>
      <c r="F73" s="319"/>
    </row>
    <row r="74" spans="1:6">
      <c r="A74" s="408" t="s">
        <v>113</v>
      </c>
      <c r="B74" s="404" t="s">
        <v>729</v>
      </c>
      <c r="C74" s="394" t="s">
        <v>718</v>
      </c>
      <c r="D74" s="399">
        <v>1</v>
      </c>
      <c r="E74" s="222">
        <v>0</v>
      </c>
      <c r="F74" s="222">
        <f>E74*D74</f>
        <v>0</v>
      </c>
    </row>
    <row r="75" spans="1:6">
      <c r="B75" s="415" t="s">
        <v>688</v>
      </c>
      <c r="C75" s="416" t="s">
        <v>674</v>
      </c>
      <c r="D75" s="417">
        <v>6</v>
      </c>
      <c r="E75" s="319"/>
      <c r="F75" s="319"/>
    </row>
    <row r="76" spans="1:6">
      <c r="B76" s="415" t="s">
        <v>689</v>
      </c>
      <c r="C76" s="416" t="s">
        <v>106</v>
      </c>
      <c r="D76" s="417">
        <v>4</v>
      </c>
      <c r="E76" s="319"/>
      <c r="F76" s="319"/>
    </row>
    <row r="77" spans="1:6">
      <c r="B77" s="415" t="s">
        <v>680</v>
      </c>
      <c r="C77" s="416" t="s">
        <v>130</v>
      </c>
      <c r="D77" s="417">
        <v>0.1</v>
      </c>
      <c r="E77" s="319"/>
      <c r="F77" s="319"/>
    </row>
    <row r="78" spans="1:6">
      <c r="B78" s="415" t="s">
        <v>681</v>
      </c>
      <c r="C78" s="416" t="s">
        <v>508</v>
      </c>
      <c r="D78" s="417">
        <v>0.1</v>
      </c>
      <c r="E78" s="319"/>
      <c r="F78" s="319"/>
    </row>
    <row r="79" spans="1:6">
      <c r="B79" s="405"/>
      <c r="C79" s="394"/>
      <c r="D79" s="399"/>
      <c r="E79" s="222"/>
      <c r="F79" s="222"/>
    </row>
    <row r="80" spans="1:6" ht="25.5">
      <c r="A80" s="408" t="s">
        <v>114</v>
      </c>
      <c r="B80" s="397" t="s">
        <v>766</v>
      </c>
      <c r="C80" s="394" t="s">
        <v>718</v>
      </c>
      <c r="D80" s="399">
        <v>1</v>
      </c>
      <c r="E80" s="222">
        <v>0</v>
      </c>
      <c r="F80" s="222">
        <f>E80*D80</f>
        <v>0</v>
      </c>
    </row>
    <row r="81" spans="1:6">
      <c r="B81" s="415" t="s">
        <v>690</v>
      </c>
      <c r="C81" s="416" t="s">
        <v>106</v>
      </c>
      <c r="D81" s="417">
        <v>1</v>
      </c>
      <c r="E81" s="319"/>
      <c r="F81" s="319"/>
    </row>
    <row r="82" spans="1:6">
      <c r="B82" s="415" t="s">
        <v>691</v>
      </c>
      <c r="C82" s="416" t="s">
        <v>106</v>
      </c>
      <c r="D82" s="417">
        <v>1</v>
      </c>
      <c r="E82" s="319"/>
      <c r="F82" s="319"/>
    </row>
    <row r="83" spans="1:6">
      <c r="B83" s="415" t="s">
        <v>692</v>
      </c>
      <c r="C83" s="416" t="s">
        <v>106</v>
      </c>
      <c r="D83" s="417">
        <v>1</v>
      </c>
      <c r="E83" s="319"/>
      <c r="F83" s="319"/>
    </row>
    <row r="84" spans="1:6">
      <c r="B84" s="415" t="s">
        <v>693</v>
      </c>
      <c r="C84" s="416" t="s">
        <v>106</v>
      </c>
      <c r="D84" s="417">
        <v>1</v>
      </c>
      <c r="E84" s="319"/>
      <c r="F84" s="319"/>
    </row>
    <row r="85" spans="1:6">
      <c r="B85" s="415" t="s">
        <v>694</v>
      </c>
      <c r="C85" s="416" t="s">
        <v>106</v>
      </c>
      <c r="D85" s="417">
        <v>1</v>
      </c>
      <c r="E85" s="319"/>
      <c r="F85" s="319"/>
    </row>
    <row r="86" spans="1:6">
      <c r="B86" s="415" t="s">
        <v>695</v>
      </c>
      <c r="C86" s="416" t="s">
        <v>106</v>
      </c>
      <c r="D86" s="417">
        <v>1</v>
      </c>
      <c r="E86" s="319"/>
      <c r="F86" s="319"/>
    </row>
    <row r="87" spans="1:6">
      <c r="B87" s="415" t="s">
        <v>696</v>
      </c>
      <c r="C87" s="416" t="s">
        <v>106</v>
      </c>
      <c r="D87" s="417">
        <v>1</v>
      </c>
      <c r="E87" s="319"/>
      <c r="F87" s="319"/>
    </row>
    <row r="88" spans="1:6">
      <c r="B88" s="415" t="s">
        <v>697</v>
      </c>
      <c r="C88" s="416" t="s">
        <v>106</v>
      </c>
      <c r="D88" s="417">
        <v>1</v>
      </c>
      <c r="E88" s="319"/>
      <c r="F88" s="319"/>
    </row>
    <row r="89" spans="1:6">
      <c r="B89" s="393"/>
      <c r="C89" s="394"/>
      <c r="D89" s="399"/>
      <c r="E89" s="222"/>
      <c r="F89" s="222"/>
    </row>
    <row r="90" spans="1:6" ht="25.5">
      <c r="A90" s="408" t="s">
        <v>730</v>
      </c>
      <c r="B90" s="420" t="s">
        <v>765</v>
      </c>
      <c r="C90" s="394" t="s">
        <v>718</v>
      </c>
      <c r="D90" s="399">
        <v>1</v>
      </c>
      <c r="E90" s="222">
        <v>0</v>
      </c>
      <c r="F90" s="222">
        <f>E90*D90</f>
        <v>0</v>
      </c>
    </row>
    <row r="91" spans="1:6">
      <c r="B91" s="415" t="s">
        <v>698</v>
      </c>
      <c r="C91" s="416"/>
      <c r="D91" s="417"/>
      <c r="E91" s="319"/>
      <c r="F91" s="319"/>
    </row>
    <row r="92" spans="1:6">
      <c r="B92" s="415" t="s">
        <v>699</v>
      </c>
      <c r="C92" s="416"/>
      <c r="D92" s="417"/>
      <c r="E92" s="319"/>
      <c r="F92" s="319"/>
    </row>
    <row r="93" spans="1:6">
      <c r="B93" s="415" t="s">
        <v>700</v>
      </c>
      <c r="C93" s="416" t="s">
        <v>106</v>
      </c>
      <c r="D93" s="418">
        <v>1</v>
      </c>
      <c r="E93" s="319"/>
      <c r="F93" s="319"/>
    </row>
    <row r="94" spans="1:6">
      <c r="B94" s="415" t="s">
        <v>701</v>
      </c>
      <c r="C94" s="416"/>
      <c r="D94" s="418"/>
      <c r="E94" s="319"/>
      <c r="F94" s="319"/>
    </row>
    <row r="95" spans="1:6">
      <c r="B95" s="415" t="s">
        <v>702</v>
      </c>
      <c r="C95" s="416" t="s">
        <v>106</v>
      </c>
      <c r="D95" s="418">
        <v>1</v>
      </c>
      <c r="E95" s="319"/>
      <c r="F95" s="319"/>
    </row>
    <row r="96" spans="1:6">
      <c r="B96" s="415" t="s">
        <v>703</v>
      </c>
      <c r="C96" s="416" t="s">
        <v>674</v>
      </c>
      <c r="D96" s="418">
        <v>6</v>
      </c>
      <c r="E96" s="319"/>
      <c r="F96" s="319"/>
    </row>
    <row r="97" spans="1:6">
      <c r="B97" s="415" t="s">
        <v>704</v>
      </c>
      <c r="C97" s="416" t="s">
        <v>106</v>
      </c>
      <c r="D97" s="418">
        <v>10</v>
      </c>
      <c r="E97" s="319"/>
      <c r="F97" s="319"/>
    </row>
    <row r="98" spans="1:6">
      <c r="B98" s="415" t="s">
        <v>602</v>
      </c>
      <c r="C98" s="416" t="s">
        <v>106</v>
      </c>
      <c r="D98" s="418">
        <v>2</v>
      </c>
      <c r="E98" s="319"/>
      <c r="F98" s="319"/>
    </row>
    <row r="99" spans="1:6">
      <c r="B99" s="415" t="s">
        <v>705</v>
      </c>
      <c r="C99" s="416" t="s">
        <v>106</v>
      </c>
      <c r="D99" s="418">
        <v>4</v>
      </c>
      <c r="E99" s="319"/>
      <c r="F99" s="319"/>
    </row>
    <row r="100" spans="1:6">
      <c r="B100" s="415" t="s">
        <v>706</v>
      </c>
      <c r="C100" s="416" t="s">
        <v>106</v>
      </c>
      <c r="D100" s="418">
        <v>5</v>
      </c>
      <c r="E100" s="319"/>
      <c r="F100" s="319"/>
    </row>
    <row r="101" spans="1:6">
      <c r="B101" s="415" t="s">
        <v>707</v>
      </c>
      <c r="C101" s="416" t="s">
        <v>106</v>
      </c>
      <c r="D101" s="418">
        <v>5</v>
      </c>
      <c r="E101" s="319"/>
      <c r="F101" s="319"/>
    </row>
    <row r="102" spans="1:6">
      <c r="B102" s="415" t="s">
        <v>680</v>
      </c>
      <c r="C102" s="416" t="s">
        <v>130</v>
      </c>
      <c r="D102" s="418">
        <v>0.3</v>
      </c>
      <c r="E102" s="319"/>
      <c r="F102" s="319"/>
    </row>
    <row r="103" spans="1:6">
      <c r="B103" s="415" t="s">
        <v>681</v>
      </c>
      <c r="C103" s="416" t="s">
        <v>508</v>
      </c>
      <c r="D103" s="418">
        <v>0.3</v>
      </c>
      <c r="E103" s="319"/>
      <c r="F103" s="319"/>
    </row>
    <row r="104" spans="1:6">
      <c r="B104" s="415" t="s">
        <v>505</v>
      </c>
      <c r="C104" s="416" t="s">
        <v>180</v>
      </c>
      <c r="D104" s="418">
        <v>1</v>
      </c>
      <c r="E104" s="319"/>
      <c r="F104" s="319"/>
    </row>
    <row r="105" spans="1:6">
      <c r="B105" s="415" t="s">
        <v>708</v>
      </c>
      <c r="C105" s="416" t="s">
        <v>106</v>
      </c>
      <c r="D105" s="418">
        <v>4</v>
      </c>
      <c r="E105" s="319"/>
      <c r="F105" s="319"/>
    </row>
    <row r="106" spans="1:6">
      <c r="B106" s="415" t="s">
        <v>709</v>
      </c>
      <c r="C106" s="416" t="s">
        <v>106</v>
      </c>
      <c r="D106" s="418">
        <v>1</v>
      </c>
      <c r="E106" s="319"/>
      <c r="F106" s="319"/>
    </row>
    <row r="107" spans="1:6">
      <c r="B107" s="393"/>
      <c r="C107" s="394"/>
      <c r="D107" s="399"/>
      <c r="E107" s="222"/>
      <c r="F107" s="222"/>
    </row>
    <row r="108" spans="1:6" ht="25.5">
      <c r="A108" s="408" t="s">
        <v>116</v>
      </c>
      <c r="B108" s="420" t="s">
        <v>767</v>
      </c>
      <c r="C108" s="394" t="s">
        <v>718</v>
      </c>
      <c r="D108" s="399">
        <v>1</v>
      </c>
      <c r="E108" s="222">
        <v>0</v>
      </c>
      <c r="F108" s="222">
        <f>E108*D108</f>
        <v>0</v>
      </c>
    </row>
    <row r="109" spans="1:6" ht="117.75" customHeight="1">
      <c r="B109" s="406" t="s">
        <v>821</v>
      </c>
      <c r="C109" s="394"/>
      <c r="D109" s="399"/>
      <c r="E109" s="222"/>
      <c r="F109" s="222"/>
    </row>
    <row r="110" spans="1:6">
      <c r="B110" s="393" t="s">
        <v>710</v>
      </c>
      <c r="C110" s="394"/>
      <c r="D110" s="399"/>
      <c r="E110" s="222"/>
      <c r="F110" s="222"/>
    </row>
    <row r="111" spans="1:6">
      <c r="B111" s="393" t="s">
        <v>711</v>
      </c>
      <c r="C111" s="394"/>
      <c r="D111" s="399"/>
      <c r="E111" s="222"/>
      <c r="F111" s="222"/>
    </row>
    <row r="112" spans="1:6">
      <c r="B112" s="393" t="s">
        <v>712</v>
      </c>
      <c r="C112" s="394"/>
      <c r="D112" s="399"/>
      <c r="E112" s="222"/>
      <c r="F112" s="222"/>
    </row>
    <row r="113" spans="1:6">
      <c r="B113" s="393" t="s">
        <v>713</v>
      </c>
      <c r="C113" s="394"/>
      <c r="D113" s="399"/>
      <c r="E113" s="222"/>
      <c r="F113" s="222"/>
    </row>
    <row r="114" spans="1:6">
      <c r="B114" s="393" t="s">
        <v>714</v>
      </c>
      <c r="C114" s="394"/>
      <c r="D114" s="399"/>
      <c r="E114" s="222"/>
      <c r="F114" s="222"/>
    </row>
    <row r="115" spans="1:6">
      <c r="B115" s="393" t="s">
        <v>715</v>
      </c>
      <c r="C115" s="394"/>
      <c r="D115" s="399"/>
      <c r="E115" s="222"/>
      <c r="F115" s="222"/>
    </row>
    <row r="116" spans="1:6">
      <c r="B116" s="393" t="s">
        <v>716</v>
      </c>
      <c r="C116" s="394"/>
      <c r="D116" s="399"/>
      <c r="E116" s="222"/>
      <c r="F116" s="222"/>
    </row>
    <row r="117" spans="1:6">
      <c r="B117" s="393" t="s">
        <v>717</v>
      </c>
      <c r="C117" s="394"/>
      <c r="D117" s="399"/>
      <c r="E117" s="222"/>
      <c r="F117" s="222"/>
    </row>
    <row r="118" spans="1:6">
      <c r="B118" s="406"/>
      <c r="C118" s="394"/>
      <c r="D118" s="399"/>
      <c r="E118" s="222"/>
      <c r="F118" s="222"/>
    </row>
    <row r="119" spans="1:6">
      <c r="A119" s="408" t="s">
        <v>117</v>
      </c>
      <c r="B119" s="404" t="s">
        <v>731</v>
      </c>
      <c r="C119" s="394" t="s">
        <v>718</v>
      </c>
      <c r="D119" s="399">
        <v>1</v>
      </c>
      <c r="E119" s="222">
        <v>0</v>
      </c>
      <c r="F119" s="222">
        <f>E119*D119</f>
        <v>0</v>
      </c>
    </row>
    <row r="120" spans="1:6">
      <c r="B120" s="393" t="s">
        <v>719</v>
      </c>
      <c r="C120" s="394"/>
      <c r="D120" s="399"/>
      <c r="E120" s="222"/>
      <c r="F120" s="222"/>
    </row>
    <row r="121" spans="1:6">
      <c r="B121" s="393" t="s">
        <v>720</v>
      </c>
      <c r="C121" s="394"/>
      <c r="D121" s="399"/>
      <c r="E121" s="222"/>
      <c r="F121" s="222"/>
    </row>
    <row r="122" spans="1:6" ht="15">
      <c r="B122" s="393" t="s">
        <v>762</v>
      </c>
      <c r="C122" s="394"/>
      <c r="D122" s="399"/>
      <c r="E122" s="222"/>
      <c r="F122" s="222"/>
    </row>
    <row r="123" spans="1:6">
      <c r="B123" s="393" t="s">
        <v>721</v>
      </c>
      <c r="C123" s="394"/>
      <c r="D123" s="399"/>
      <c r="E123" s="222"/>
      <c r="F123" s="222"/>
    </row>
    <row r="124" spans="1:6">
      <c r="B124" s="393" t="s">
        <v>722</v>
      </c>
      <c r="C124" s="394"/>
      <c r="D124" s="399"/>
      <c r="E124" s="222"/>
      <c r="F124" s="222"/>
    </row>
    <row r="125" spans="1:6">
      <c r="B125" s="393" t="s">
        <v>723</v>
      </c>
      <c r="C125" s="394"/>
      <c r="D125" s="399"/>
      <c r="E125" s="222"/>
      <c r="F125" s="222"/>
    </row>
    <row r="126" spans="1:6">
      <c r="B126" s="396"/>
      <c r="C126" s="390"/>
      <c r="D126" s="391"/>
      <c r="E126" s="222"/>
      <c r="F126" s="222"/>
    </row>
    <row r="127" spans="1:6">
      <c r="A127" s="408" t="s">
        <v>118</v>
      </c>
      <c r="B127" s="397" t="s">
        <v>732</v>
      </c>
      <c r="C127" s="394" t="s">
        <v>718</v>
      </c>
      <c r="D127" s="399">
        <v>1</v>
      </c>
      <c r="E127" s="222">
        <v>0</v>
      </c>
      <c r="F127" s="222">
        <f>E127*D127</f>
        <v>0</v>
      </c>
    </row>
    <row r="128" spans="1:6" ht="25.5">
      <c r="B128" s="407" t="s">
        <v>733</v>
      </c>
      <c r="C128" s="390"/>
      <c r="D128" s="391"/>
      <c r="E128" s="222"/>
      <c r="F128" s="222"/>
    </row>
    <row r="129" spans="1:6">
      <c r="B129" s="398" t="s">
        <v>734</v>
      </c>
      <c r="C129" s="390"/>
      <c r="D129" s="391"/>
      <c r="E129" s="222"/>
      <c r="F129" s="222"/>
    </row>
    <row r="130" spans="1:6">
      <c r="B130" s="398" t="s">
        <v>735</v>
      </c>
      <c r="C130" s="390"/>
      <c r="D130" s="391"/>
      <c r="E130" s="222"/>
      <c r="F130" s="222"/>
    </row>
    <row r="131" spans="1:6">
      <c r="B131" s="398" t="s">
        <v>736</v>
      </c>
      <c r="C131" s="390"/>
      <c r="D131" s="391"/>
      <c r="E131" s="222"/>
      <c r="F131" s="222"/>
    </row>
    <row r="132" spans="1:6">
      <c r="B132" s="385"/>
      <c r="C132" s="386"/>
      <c r="D132" s="387"/>
      <c r="E132" s="222"/>
      <c r="F132" s="222"/>
    </row>
    <row r="133" spans="1:6" ht="38.25">
      <c r="A133" s="408" t="s">
        <v>119</v>
      </c>
      <c r="B133" s="385" t="s">
        <v>768</v>
      </c>
      <c r="C133" s="394" t="s">
        <v>718</v>
      </c>
      <c r="D133" s="399">
        <v>1</v>
      </c>
      <c r="E133" s="222">
        <v>0</v>
      </c>
      <c r="F133" s="222">
        <f>E133*D133</f>
        <v>0</v>
      </c>
    </row>
    <row r="134" spans="1:6">
      <c r="B134" s="385"/>
      <c r="C134" s="386"/>
      <c r="D134" s="387"/>
      <c r="E134" s="222"/>
      <c r="F134" s="222"/>
    </row>
    <row r="135" spans="1:6" ht="63.75">
      <c r="A135" s="408" t="s">
        <v>120</v>
      </c>
      <c r="B135" s="347" t="s">
        <v>769</v>
      </c>
      <c r="C135" s="394" t="s">
        <v>718</v>
      </c>
      <c r="D135" s="399">
        <v>1</v>
      </c>
      <c r="E135" s="253">
        <v>0</v>
      </c>
      <c r="F135" s="222">
        <f>E135*D135</f>
        <v>0</v>
      </c>
    </row>
    <row r="136" spans="1:6">
      <c r="B136" s="250"/>
      <c r="C136" s="408"/>
      <c r="D136" s="409"/>
    </row>
    <row r="137" spans="1:6" s="112" customFormat="1">
      <c r="A137" s="410"/>
      <c r="B137" s="279" t="s">
        <v>461</v>
      </c>
      <c r="C137" s="378"/>
      <c r="D137" s="411"/>
      <c r="E137" s="379"/>
      <c r="F137" s="379">
        <f>SUM(F8:F136)</f>
        <v>0</v>
      </c>
    </row>
    <row r="139" spans="1:6">
      <c r="B139" s="412"/>
    </row>
    <row r="140" spans="1:6">
      <c r="B140" s="413"/>
    </row>
  </sheetData>
  <mergeCells count="1">
    <mergeCell ref="B5:F5"/>
  </mergeCells>
  <printOptions horizontalCentered="1"/>
  <pageMargins left="0.98425196850393704" right="0.39370078740157483" top="0.98425196850393704" bottom="0.78740157480314965" header="0.51181102362204722" footer="0.51181102362204722"/>
  <pageSetup paperSize="9" fitToHeight="100" orientation="portrait" r:id="rId1"/>
  <headerFooter alignWithMargins="0">
    <oddHeader>&amp;L&amp;8&amp;F&amp;R&amp;8&amp;Pod &amp;N</oddHeader>
    <oddFooter>&amp;C&amp;8&amp;A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B5" sqref="B5"/>
    </sheetView>
  </sheetViews>
  <sheetFormatPr defaultColWidth="9.140625" defaultRowHeight="12.75"/>
  <cols>
    <col min="1" max="1" width="5.85546875" customWidth="1" collapsed="1"/>
    <col min="2" max="2" width="46.85546875" customWidth="1" collapsed="1"/>
    <col min="3" max="3" width="6.140625" style="23" customWidth="1" collapsed="1"/>
    <col min="4" max="4" width="7.85546875" style="2" customWidth="1" collapsed="1"/>
    <col min="5" max="5" width="9.140625" collapsed="1"/>
    <col min="6" max="6" width="11.5703125" customWidth="1" collapsed="1"/>
    <col min="7" max="16384" width="9.140625" collapsed="1"/>
  </cols>
  <sheetData>
    <row r="1" spans="1:6">
      <c r="A1" s="93" t="s">
        <v>166</v>
      </c>
      <c r="B1" s="12" t="s">
        <v>171</v>
      </c>
      <c r="C1" s="13"/>
      <c r="D1" s="12"/>
      <c r="E1" s="13"/>
      <c r="F1" s="30"/>
    </row>
    <row r="2" spans="1:6" ht="4.5" customHeight="1">
      <c r="A2" s="12"/>
      <c r="B2" s="71"/>
      <c r="C2" s="72"/>
      <c r="D2" s="12"/>
      <c r="E2" s="72"/>
      <c r="F2" s="72"/>
    </row>
    <row r="3" spans="1:6" ht="25.5">
      <c r="A3" s="92" t="s">
        <v>173</v>
      </c>
      <c r="B3" s="14" t="s">
        <v>174</v>
      </c>
      <c r="C3" s="15" t="s">
        <v>175</v>
      </c>
      <c r="D3" s="16" t="s">
        <v>176</v>
      </c>
      <c r="E3" s="17" t="s">
        <v>177</v>
      </c>
      <c r="F3" s="105" t="s">
        <v>178</v>
      </c>
    </row>
    <row r="4" spans="1:6">
      <c r="A4" s="29"/>
      <c r="B4" s="80"/>
      <c r="C4" s="81"/>
      <c r="D4" s="107"/>
      <c r="E4" s="31"/>
      <c r="F4" s="21"/>
    </row>
    <row r="5" spans="1:6" ht="63.75">
      <c r="A5" s="18"/>
      <c r="B5" s="96" t="s">
        <v>183</v>
      </c>
      <c r="D5" s="37"/>
      <c r="E5" s="31"/>
      <c r="F5" s="21"/>
    </row>
    <row r="6" spans="1:6">
      <c r="A6" s="18"/>
      <c r="B6" s="5"/>
      <c r="D6" s="37"/>
      <c r="E6" s="31"/>
      <c r="F6" s="21"/>
    </row>
    <row r="7" spans="1:6" ht="25.5">
      <c r="A7" s="18" t="s">
        <v>179</v>
      </c>
      <c r="B7" s="32" t="s">
        <v>184</v>
      </c>
      <c r="C7" s="23" t="s">
        <v>104</v>
      </c>
      <c r="D7" s="108">
        <v>153.30000000000001</v>
      </c>
      <c r="E7" s="25"/>
      <c r="F7" s="25">
        <f>D7*E7</f>
        <v>0</v>
      </c>
    </row>
    <row r="8" spans="1:6">
      <c r="A8" s="18"/>
      <c r="B8" s="32"/>
      <c r="D8" s="108"/>
      <c r="E8" s="25"/>
      <c r="F8" s="25"/>
    </row>
    <row r="9" spans="1:6" ht="76.5">
      <c r="A9" s="18" t="s">
        <v>181</v>
      </c>
      <c r="B9" s="32" t="s">
        <v>185</v>
      </c>
      <c r="C9" s="23" t="s">
        <v>104</v>
      </c>
      <c r="D9" s="108">
        <v>153.30000000000001</v>
      </c>
      <c r="E9" s="25"/>
      <c r="F9" s="25">
        <f t="shared" ref="F9:F21" si="0">D9*E9</f>
        <v>0</v>
      </c>
    </row>
    <row r="10" spans="1:6">
      <c r="A10" s="18"/>
      <c r="B10" s="32"/>
      <c r="D10" s="108"/>
      <c r="E10" s="25"/>
      <c r="F10" s="25"/>
    </row>
    <row r="11" spans="1:6" ht="90.75" customHeight="1">
      <c r="A11" s="18" t="s">
        <v>109</v>
      </c>
      <c r="B11" s="32" t="s">
        <v>62</v>
      </c>
      <c r="C11" s="23" t="s">
        <v>104</v>
      </c>
      <c r="D11" s="108">
        <f>64.68+31.12+5.9</f>
        <v>101.70000000000002</v>
      </c>
      <c r="E11" s="25"/>
      <c r="F11" s="25">
        <f t="shared" si="0"/>
        <v>0</v>
      </c>
    </row>
    <row r="12" spans="1:6">
      <c r="A12" s="18"/>
      <c r="B12" s="32"/>
      <c r="D12" s="108"/>
      <c r="E12" s="25"/>
      <c r="F12" s="25"/>
    </row>
    <row r="13" spans="1:6" ht="63.75">
      <c r="A13" s="18" t="s">
        <v>110</v>
      </c>
      <c r="B13" s="32" t="s">
        <v>63</v>
      </c>
      <c r="D13" s="108"/>
      <c r="E13" s="25"/>
      <c r="F13" s="25"/>
    </row>
    <row r="14" spans="1:6">
      <c r="A14" s="18"/>
      <c r="B14" s="32"/>
      <c r="D14" s="108"/>
      <c r="E14" s="25"/>
      <c r="F14" s="25"/>
    </row>
    <row r="15" spans="1:6">
      <c r="A15" s="18" t="s">
        <v>64</v>
      </c>
      <c r="B15" s="32" t="s">
        <v>65</v>
      </c>
      <c r="C15" s="23" t="s">
        <v>105</v>
      </c>
      <c r="D15" s="108">
        <v>35</v>
      </c>
      <c r="E15" s="25"/>
      <c r="F15" s="25">
        <f t="shared" si="0"/>
        <v>0</v>
      </c>
    </row>
    <row r="16" spans="1:6">
      <c r="A16" s="18"/>
      <c r="B16" s="32"/>
      <c r="D16" s="108"/>
      <c r="E16" s="25"/>
      <c r="F16" s="25"/>
    </row>
    <row r="17" spans="1:6">
      <c r="A17" s="18" t="s">
        <v>66</v>
      </c>
      <c r="B17" s="32" t="s">
        <v>67</v>
      </c>
      <c r="C17" s="23" t="s">
        <v>105</v>
      </c>
      <c r="D17" s="108">
        <v>10.5</v>
      </c>
      <c r="E17" s="25"/>
      <c r="F17" s="25">
        <f t="shared" si="0"/>
        <v>0</v>
      </c>
    </row>
    <row r="18" spans="1:6">
      <c r="A18" s="18"/>
      <c r="B18" s="32"/>
      <c r="D18" s="108"/>
      <c r="E18" s="25"/>
      <c r="F18" s="25"/>
    </row>
    <row r="19" spans="1:6" ht="25.5">
      <c r="A19" s="18" t="s">
        <v>68</v>
      </c>
      <c r="B19" s="32" t="s">
        <v>69</v>
      </c>
      <c r="C19" s="23" t="s">
        <v>105</v>
      </c>
      <c r="D19" s="108">
        <v>9.5</v>
      </c>
      <c r="E19" s="25"/>
      <c r="F19" s="25">
        <f t="shared" si="0"/>
        <v>0</v>
      </c>
    </row>
    <row r="20" spans="1:6">
      <c r="A20" s="18"/>
      <c r="B20" s="32"/>
      <c r="D20" s="108"/>
      <c r="E20" s="25"/>
      <c r="F20" s="25"/>
    </row>
    <row r="21" spans="1:6">
      <c r="A21" s="18" t="s">
        <v>70</v>
      </c>
      <c r="B21" s="32" t="s">
        <v>71</v>
      </c>
      <c r="C21" s="23" t="s">
        <v>104</v>
      </c>
      <c r="D21" s="108">
        <v>25</v>
      </c>
      <c r="E21" s="25"/>
      <c r="F21" s="25">
        <f t="shared" si="0"/>
        <v>0</v>
      </c>
    </row>
    <row r="22" spans="1:6">
      <c r="A22" s="18"/>
      <c r="B22" s="32"/>
      <c r="D22" s="108"/>
      <c r="E22" s="25"/>
      <c r="F22" s="25"/>
    </row>
    <row r="23" spans="1:6">
      <c r="A23" s="18" t="s">
        <v>111</v>
      </c>
      <c r="B23" s="32" t="s">
        <v>72</v>
      </c>
      <c r="D23" s="108"/>
      <c r="E23" s="25"/>
      <c r="F23" s="25"/>
    </row>
    <row r="24" spans="1:6">
      <c r="A24" s="18"/>
      <c r="B24" s="32"/>
      <c r="D24" s="108"/>
      <c r="E24" s="25"/>
      <c r="F24" s="25"/>
    </row>
    <row r="25" spans="1:6">
      <c r="A25" s="18" t="s">
        <v>73</v>
      </c>
      <c r="B25" s="32" t="s">
        <v>74</v>
      </c>
      <c r="C25" s="23" t="s">
        <v>106</v>
      </c>
      <c r="D25" s="108">
        <v>15</v>
      </c>
      <c r="E25" s="25"/>
      <c r="F25" s="25">
        <f>D25*E25</f>
        <v>0</v>
      </c>
    </row>
    <row r="26" spans="1:6">
      <c r="A26" s="18"/>
      <c r="B26" s="32"/>
      <c r="D26" s="108"/>
      <c r="E26" s="25"/>
      <c r="F26" s="25"/>
    </row>
    <row r="27" spans="1:6">
      <c r="A27" s="18" t="s">
        <v>75</v>
      </c>
      <c r="B27" s="32" t="s">
        <v>76</v>
      </c>
      <c r="C27" s="23" t="s">
        <v>106</v>
      </c>
      <c r="D27" s="108">
        <v>3</v>
      </c>
      <c r="E27" s="25"/>
      <c r="F27" s="25">
        <f>D27*E27</f>
        <v>0</v>
      </c>
    </row>
    <row r="28" spans="1:6">
      <c r="A28" s="18"/>
      <c r="B28" s="32"/>
      <c r="D28" s="108"/>
      <c r="E28" s="25"/>
      <c r="F28" s="25"/>
    </row>
    <row r="29" spans="1:6">
      <c r="A29" s="18" t="s">
        <v>77</v>
      </c>
      <c r="B29" s="32" t="s">
        <v>78</v>
      </c>
      <c r="C29" s="23" t="s">
        <v>106</v>
      </c>
      <c r="D29" s="108">
        <v>3</v>
      </c>
      <c r="E29" s="25"/>
      <c r="F29" s="25">
        <f>D29*E29</f>
        <v>0</v>
      </c>
    </row>
    <row r="30" spans="1:6">
      <c r="A30" s="18"/>
      <c r="B30" s="32"/>
      <c r="D30" s="108"/>
      <c r="E30" s="25"/>
      <c r="F30" s="25"/>
    </row>
    <row r="31" spans="1:6" ht="51">
      <c r="A31" s="18" t="s">
        <v>112</v>
      </c>
      <c r="B31" s="32" t="s">
        <v>79</v>
      </c>
      <c r="C31" s="23" t="s">
        <v>107</v>
      </c>
      <c r="D31" s="108">
        <v>66.2</v>
      </c>
      <c r="E31" s="25"/>
      <c r="F31" s="25">
        <f>D31*E31</f>
        <v>0</v>
      </c>
    </row>
    <row r="32" spans="1:6" s="2" customFormat="1" ht="14.25" customHeight="1">
      <c r="A32" s="8"/>
      <c r="B32" s="26"/>
      <c r="C32" s="34"/>
      <c r="D32" s="35"/>
      <c r="E32" s="36"/>
      <c r="F32" s="36"/>
    </row>
    <row r="33" spans="1:6" s="2" customFormat="1">
      <c r="A33" s="39"/>
      <c r="B33" s="5"/>
      <c r="C33" s="3"/>
      <c r="D33" s="37"/>
      <c r="E33" s="38"/>
      <c r="F33" s="38"/>
    </row>
    <row r="34" spans="1:6" ht="12.75" customHeight="1">
      <c r="A34" s="18"/>
      <c r="B34" s="5"/>
      <c r="C34" s="9" t="s">
        <v>162</v>
      </c>
      <c r="D34" s="37"/>
      <c r="E34" s="21"/>
      <c r="F34" s="38">
        <f>SUM(F4:F32)</f>
        <v>0</v>
      </c>
    </row>
    <row r="37" spans="1:6"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B5" sqref="B5"/>
    </sheetView>
  </sheetViews>
  <sheetFormatPr defaultColWidth="9.140625" defaultRowHeight="12.75"/>
  <cols>
    <col min="1" max="1" width="5.85546875" customWidth="1" collapsed="1"/>
    <col min="2" max="2" width="46.85546875" customWidth="1" collapsed="1"/>
    <col min="3" max="3" width="6.140625" customWidth="1" collapsed="1"/>
    <col min="4" max="4" width="7.85546875" customWidth="1" collapsed="1"/>
    <col min="5" max="5" width="8.5703125" customWidth="1" collapsed="1"/>
    <col min="6" max="6" width="12.28515625" customWidth="1" collapsed="1"/>
    <col min="7" max="16384" width="9.140625" collapsed="1"/>
  </cols>
  <sheetData>
    <row r="1" spans="1:6">
      <c r="A1" s="93" t="s">
        <v>167</v>
      </c>
      <c r="B1" s="12" t="s">
        <v>169</v>
      </c>
      <c r="C1" s="13"/>
      <c r="D1" s="13"/>
      <c r="E1" s="13"/>
      <c r="F1" s="30"/>
    </row>
    <row r="2" spans="1:6" ht="4.5" customHeight="1">
      <c r="A2" s="78"/>
      <c r="B2" s="78"/>
      <c r="C2" s="79"/>
      <c r="D2" s="79"/>
      <c r="E2" s="79"/>
      <c r="F2" s="79"/>
    </row>
    <row r="3" spans="1:6" ht="25.5">
      <c r="A3" s="92" t="s">
        <v>173</v>
      </c>
      <c r="B3" s="14" t="s">
        <v>174</v>
      </c>
      <c r="C3" s="15" t="s">
        <v>175</v>
      </c>
      <c r="D3" s="16" t="s">
        <v>176</v>
      </c>
      <c r="E3" s="17" t="s">
        <v>177</v>
      </c>
      <c r="F3" s="105" t="s">
        <v>178</v>
      </c>
    </row>
    <row r="4" spans="1:6" s="2" customFormat="1" ht="12.75" customHeight="1">
      <c r="A4" s="8"/>
      <c r="B4" s="5"/>
      <c r="C4" s="45"/>
      <c r="D4" s="37"/>
      <c r="E4" s="82"/>
      <c r="F4" s="38"/>
    </row>
    <row r="5" spans="1:6" s="2" customFormat="1" ht="40.5" customHeight="1">
      <c r="A5" s="8"/>
      <c r="B5" s="96" t="s">
        <v>80</v>
      </c>
      <c r="C5" s="45"/>
      <c r="D5" s="37"/>
      <c r="E5" s="82"/>
      <c r="F5" s="38"/>
    </row>
    <row r="6" spans="1:6" s="2" customFormat="1" ht="12.75" customHeight="1">
      <c r="A6" s="8"/>
      <c r="B6" s="5"/>
      <c r="C6" s="45"/>
      <c r="D6" s="37"/>
      <c r="E6" s="82"/>
      <c r="F6" s="38"/>
    </row>
    <row r="7" spans="1:6" ht="25.5">
      <c r="A7" s="18" t="s">
        <v>179</v>
      </c>
      <c r="B7" s="22" t="s">
        <v>81</v>
      </c>
      <c r="C7" s="23" t="s">
        <v>104</v>
      </c>
      <c r="D7" s="108">
        <v>6.05</v>
      </c>
      <c r="E7" s="25"/>
      <c r="F7" s="25">
        <f>D7*E7</f>
        <v>0</v>
      </c>
    </row>
    <row r="8" spans="1:6">
      <c r="A8" s="18"/>
      <c r="B8" s="22"/>
      <c r="C8" s="23"/>
      <c r="D8" s="108"/>
      <c r="E8" s="25"/>
      <c r="F8" s="25"/>
    </row>
    <row r="9" spans="1:6" ht="25.5" customHeight="1">
      <c r="A9" s="18" t="s">
        <v>181</v>
      </c>
      <c r="B9" s="22" t="s">
        <v>131</v>
      </c>
      <c r="C9" s="23" t="s">
        <v>104</v>
      </c>
      <c r="D9" s="108">
        <v>1.94</v>
      </c>
      <c r="E9" s="25"/>
      <c r="F9" s="25">
        <f t="shared" ref="F9:F23" si="0">D9*E9</f>
        <v>0</v>
      </c>
    </row>
    <row r="10" spans="1:6" ht="12" customHeight="1">
      <c r="A10" s="18"/>
      <c r="B10" s="22"/>
      <c r="C10" s="23"/>
      <c r="D10" s="108"/>
      <c r="E10" s="25"/>
      <c r="F10" s="25"/>
    </row>
    <row r="11" spans="1:6" ht="27" customHeight="1">
      <c r="A11" s="18" t="s">
        <v>109</v>
      </c>
      <c r="B11" s="22" t="s">
        <v>132</v>
      </c>
      <c r="C11" s="23" t="s">
        <v>104</v>
      </c>
      <c r="D11" s="108">
        <v>101.6</v>
      </c>
      <c r="E11" s="25"/>
      <c r="F11" s="25">
        <f t="shared" si="0"/>
        <v>0</v>
      </c>
    </row>
    <row r="12" spans="1:6">
      <c r="A12" s="18"/>
      <c r="B12" s="22"/>
      <c r="C12" s="23"/>
      <c r="D12" s="108"/>
      <c r="E12" s="25"/>
      <c r="F12" s="25"/>
    </row>
    <row r="13" spans="1:6" ht="27" customHeight="1">
      <c r="A13" s="18" t="s">
        <v>110</v>
      </c>
      <c r="B13" s="22" t="s">
        <v>133</v>
      </c>
      <c r="C13" s="23" t="s">
        <v>104</v>
      </c>
      <c r="D13" s="108">
        <v>21.3</v>
      </c>
      <c r="E13" s="25"/>
      <c r="F13" s="25">
        <f t="shared" si="0"/>
        <v>0</v>
      </c>
    </row>
    <row r="14" spans="1:6" ht="13.5" customHeight="1">
      <c r="A14" s="18"/>
      <c r="B14" s="22"/>
      <c r="C14" s="23"/>
      <c r="D14" s="108"/>
      <c r="E14" s="25"/>
      <c r="F14" s="25"/>
    </row>
    <row r="15" spans="1:6" ht="27" customHeight="1">
      <c r="A15" s="18" t="s">
        <v>111</v>
      </c>
      <c r="B15" s="22" t="s">
        <v>134</v>
      </c>
      <c r="C15" s="23" t="s">
        <v>107</v>
      </c>
      <c r="D15" s="108">
        <v>125.18</v>
      </c>
      <c r="E15" s="25"/>
      <c r="F15" s="25">
        <f t="shared" si="0"/>
        <v>0</v>
      </c>
    </row>
    <row r="16" spans="1:6" ht="13.5" customHeight="1">
      <c r="A16" s="18"/>
      <c r="B16" s="22"/>
      <c r="C16" s="23"/>
      <c r="D16" s="108"/>
      <c r="E16" s="25"/>
      <c r="F16" s="25"/>
    </row>
    <row r="17" spans="1:6" ht="13.5" customHeight="1">
      <c r="A17" s="18" t="s">
        <v>112</v>
      </c>
      <c r="B17" s="22" t="s">
        <v>135</v>
      </c>
      <c r="C17" s="23"/>
      <c r="D17" s="108"/>
      <c r="E17" s="25"/>
      <c r="F17" s="25"/>
    </row>
    <row r="18" spans="1:6" ht="13.5" customHeight="1">
      <c r="A18" s="18"/>
      <c r="B18" s="22"/>
      <c r="C18" s="23"/>
      <c r="D18" s="108"/>
      <c r="E18" s="25"/>
      <c r="F18" s="25"/>
    </row>
    <row r="19" spans="1:6" ht="13.5" customHeight="1">
      <c r="A19" s="18"/>
      <c r="B19" s="22" t="s">
        <v>136</v>
      </c>
      <c r="C19" s="23" t="s">
        <v>104</v>
      </c>
      <c r="D19" s="108">
        <v>5.8</v>
      </c>
      <c r="E19" s="25"/>
      <c r="F19" s="25">
        <f t="shared" si="0"/>
        <v>0</v>
      </c>
    </row>
    <row r="20" spans="1:6" ht="13.5" customHeight="1">
      <c r="A20" s="18"/>
      <c r="B20" s="22" t="s">
        <v>137</v>
      </c>
      <c r="C20" s="23" t="s">
        <v>107</v>
      </c>
      <c r="D20" s="108">
        <v>19.5</v>
      </c>
      <c r="E20" s="25"/>
      <c r="F20" s="25">
        <f t="shared" si="0"/>
        <v>0</v>
      </c>
    </row>
    <row r="21" spans="1:6" ht="13.5" customHeight="1">
      <c r="A21" s="18"/>
      <c r="B21" s="22" t="s">
        <v>138</v>
      </c>
      <c r="C21" s="23" t="s">
        <v>107</v>
      </c>
      <c r="D21" s="108">
        <v>5.7</v>
      </c>
      <c r="E21" s="25"/>
      <c r="F21" s="25">
        <f t="shared" si="0"/>
        <v>0</v>
      </c>
    </row>
    <row r="22" spans="1:6" ht="13.5" customHeight="1">
      <c r="A22" s="18"/>
      <c r="B22" s="22"/>
      <c r="C22" s="23"/>
      <c r="D22" s="108"/>
      <c r="E22" s="25"/>
      <c r="F22" s="25"/>
    </row>
    <row r="23" spans="1:6" ht="25.5">
      <c r="A23" s="18" t="s">
        <v>113</v>
      </c>
      <c r="B23" s="22" t="s">
        <v>139</v>
      </c>
      <c r="C23" s="23" t="s">
        <v>104</v>
      </c>
      <c r="D23" s="108">
        <v>122.61</v>
      </c>
      <c r="E23" s="25"/>
      <c r="F23" s="25">
        <f t="shared" si="0"/>
        <v>0</v>
      </c>
    </row>
    <row r="24" spans="1:6" s="2" customFormat="1" ht="13.5" customHeight="1">
      <c r="A24" s="8"/>
      <c r="B24" s="33"/>
      <c r="C24" s="44"/>
      <c r="D24" s="35"/>
      <c r="E24" s="36"/>
      <c r="F24" s="36"/>
    </row>
    <row r="25" spans="1:6" s="2" customFormat="1" ht="9.9499999999999993" customHeight="1">
      <c r="A25" s="39"/>
      <c r="B25" s="5"/>
      <c r="C25" s="45"/>
      <c r="D25" s="37"/>
      <c r="E25" s="38"/>
      <c r="F25" s="38"/>
    </row>
    <row r="26" spans="1:6" ht="12.75" customHeight="1">
      <c r="A26" s="18"/>
      <c r="B26" s="5"/>
      <c r="C26" s="9" t="s">
        <v>162</v>
      </c>
      <c r="D26" s="20"/>
      <c r="E26" s="21"/>
      <c r="F26" s="38">
        <f>SUM(F7:F24)</f>
        <v>0</v>
      </c>
    </row>
    <row r="27" spans="1:6" ht="12.75" customHeight="1">
      <c r="A27" s="18"/>
      <c r="B27" s="4"/>
      <c r="C27" s="19"/>
      <c r="D27" s="20"/>
      <c r="E27" s="21"/>
      <c r="F27" s="21"/>
    </row>
    <row r="35"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D35"/>
  <sheetViews>
    <sheetView workbookViewId="0">
      <selection activeCell="D29" sqref="D29"/>
    </sheetView>
  </sheetViews>
  <sheetFormatPr defaultColWidth="9.140625" defaultRowHeight="12.75" customHeight="1"/>
  <cols>
    <col min="1" max="1" width="7.42578125" style="18" customWidth="1" collapsed="1"/>
    <col min="2" max="2" width="51.5703125" style="4" customWidth="1" collapsed="1"/>
    <col min="3" max="3" width="6.140625" style="20" customWidth="1" collapsed="1"/>
    <col min="4" max="4" width="14.28515625" style="48" customWidth="1" collapsed="1"/>
    <col min="5" max="16384" width="9.140625" collapsed="1"/>
  </cols>
  <sheetData>
    <row r="6" spans="1:4" ht="12.75" customHeight="1">
      <c r="B6" s="5"/>
    </row>
    <row r="7" spans="1:4" ht="13.5" customHeight="1">
      <c r="A7" s="8" t="s">
        <v>150</v>
      </c>
      <c r="B7" s="9" t="s">
        <v>151</v>
      </c>
    </row>
    <row r="8" spans="1:4" ht="13.5" customHeight="1">
      <c r="A8" s="8"/>
      <c r="B8" s="9"/>
    </row>
    <row r="9" spans="1:4" ht="13.5" customHeight="1">
      <c r="A9" s="8"/>
      <c r="B9" s="9"/>
      <c r="C9" s="21"/>
      <c r="D9"/>
    </row>
    <row r="10" spans="1:4" ht="12.75" customHeight="1">
      <c r="A10" s="18" t="s">
        <v>165</v>
      </c>
      <c r="B10" s="4" t="s">
        <v>86</v>
      </c>
      <c r="C10" s="21"/>
      <c r="D10">
        <f>'I. Krovsko kleparska dela'!F26</f>
        <v>23119.420000000002</v>
      </c>
    </row>
    <row r="11" spans="1:4" ht="12.75" customHeight="1">
      <c r="C11" s="21"/>
      <c r="D11"/>
    </row>
    <row r="12" spans="1:4" ht="12.75" customHeight="1">
      <c r="A12" s="18" t="s">
        <v>166</v>
      </c>
      <c r="B12" s="4" t="s">
        <v>87</v>
      </c>
      <c r="C12" s="21"/>
      <c r="D12">
        <f>'II. Klučavničarska dela'!F30</f>
        <v>12292.02</v>
      </c>
    </row>
    <row r="13" spans="1:4" ht="12.75" customHeight="1">
      <c r="C13" s="21"/>
      <c r="D13"/>
    </row>
    <row r="14" spans="1:4" ht="12.75" customHeight="1">
      <c r="A14" s="18" t="s">
        <v>167</v>
      </c>
      <c r="B14" s="4" t="s">
        <v>140</v>
      </c>
      <c r="C14" s="21"/>
      <c r="D14">
        <f>'III. Alu in steklarska dela'!F42</f>
        <v>51740.93</v>
      </c>
    </row>
    <row r="15" spans="1:4" ht="12.75" customHeight="1">
      <c r="C15" s="21"/>
      <c r="D15"/>
    </row>
    <row r="16" spans="1:4" ht="12.75" customHeight="1">
      <c r="A16" s="18" t="s">
        <v>168</v>
      </c>
      <c r="B16" s="4" t="s">
        <v>141</v>
      </c>
      <c r="D16" s="48">
        <f>'IV. Mizarska dela'!F28</f>
        <v>9107</v>
      </c>
    </row>
    <row r="18" spans="1:4" ht="12.75" customHeight="1">
      <c r="A18" s="18" t="s">
        <v>170</v>
      </c>
      <c r="B18" s="4" t="s">
        <v>142</v>
      </c>
      <c r="D18" s="48">
        <f>' V. Pred. stene in spušč. str.'!F24</f>
        <v>22948.890999999996</v>
      </c>
    </row>
    <row r="20" spans="1:4" ht="12.75" customHeight="1">
      <c r="A20" s="18" t="s">
        <v>172</v>
      </c>
      <c r="B20" s="4" t="s">
        <v>88</v>
      </c>
      <c r="D20" s="48">
        <f>'VI. Keramičarska dela'!F18</f>
        <v>17008.599999999999</v>
      </c>
    </row>
    <row r="22" spans="1:4" ht="12.75" customHeight="1">
      <c r="A22" s="18" t="s">
        <v>89</v>
      </c>
      <c r="B22" s="4" t="s">
        <v>143</v>
      </c>
      <c r="D22" s="48">
        <f>'VII. Fasaderska dela'!F18</f>
        <v>56215.756000000008</v>
      </c>
    </row>
    <row r="24" spans="1:4" ht="12.75" customHeight="1">
      <c r="A24" s="18" t="s">
        <v>91</v>
      </c>
      <c r="B24" s="4" t="s">
        <v>90</v>
      </c>
      <c r="D24" s="48">
        <f>'VIII. Slikopleskarska dela'!F14</f>
        <v>5524.3</v>
      </c>
    </row>
    <row r="25" spans="1:4" s="2" customFormat="1" ht="12.75" customHeight="1">
      <c r="A25" s="18"/>
      <c r="B25" s="4"/>
      <c r="C25" s="20"/>
      <c r="D25" s="48"/>
    </row>
    <row r="26" spans="1:4" s="2" customFormat="1" ht="12.75" customHeight="1">
      <c r="A26" s="18" t="s">
        <v>92</v>
      </c>
      <c r="B26" s="4" t="s">
        <v>144</v>
      </c>
      <c r="C26" s="20"/>
      <c r="D26" s="48">
        <f>'IX. Razna obrtniška dela'!F56</f>
        <v>66012.924999999988</v>
      </c>
    </row>
    <row r="27" spans="1:4" s="2" customFormat="1" ht="12.75" customHeight="1">
      <c r="A27" s="18"/>
      <c r="B27" s="4"/>
      <c r="C27" s="28"/>
      <c r="D27" s="101"/>
    </row>
    <row r="28" spans="1:4" ht="12.75" customHeight="1">
      <c r="A28" s="90"/>
      <c r="B28" s="91"/>
    </row>
    <row r="29" spans="1:4" ht="12.75" customHeight="1">
      <c r="A29" s="8"/>
      <c r="B29" s="104" t="s">
        <v>162</v>
      </c>
      <c r="C29" s="47"/>
    </row>
    <row r="30" spans="1:4" ht="12.75" customHeight="1">
      <c r="C30" s="47"/>
    </row>
    <row r="31" spans="1:4" ht="16.5" customHeight="1">
      <c r="C31" s="47"/>
    </row>
    <row r="32" spans="1:4" ht="12.75" customHeight="1">
      <c r="C32" s="47"/>
    </row>
    <row r="33" spans="2:3" ht="12.75" customHeight="1">
      <c r="C33" s="100"/>
    </row>
    <row r="34" spans="2:3" ht="12.75" customHeight="1">
      <c r="B34" s="67"/>
    </row>
    <row r="35" spans="2:3" ht="12.75" customHeight="1">
      <c r="C35" s="24"/>
    </row>
  </sheetData>
  <phoneticPr fontId="0" type="noConversion"/>
  <pageMargins left="0.98425196850393704" right="0.55118110236220474" top="0.74803149606299213" bottom="0.74803149606299213" header="0.31496062992125984" footer="0.31496062992125984"/>
  <pageSetup paperSize="9" orientation="portrait" horizontalDpi="300" verticalDpi="300" r:id="rId1"/>
  <headerFooter alignWithMargins="0">
    <oddHeader>&amp;C&amp;F; &amp;A</oddHeader>
    <oddFooter>&amp;C&amp;14&amp;Y&amp;P od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B30" sqref="B30"/>
    </sheetView>
  </sheetViews>
  <sheetFormatPr defaultColWidth="9.140625" defaultRowHeight="12.75"/>
  <cols>
    <col min="1" max="1" width="7.140625" customWidth="1" collapsed="1"/>
    <col min="2" max="2" width="51.5703125" customWidth="1" collapsed="1"/>
    <col min="3" max="3" width="6.140625" customWidth="1" collapsed="1"/>
    <col min="4" max="4" width="8.28515625" style="70" customWidth="1" collapsed="1"/>
    <col min="5" max="5" width="9.140625" collapsed="1"/>
    <col min="6" max="6" width="12.85546875" customWidth="1" collapsed="1"/>
    <col min="7" max="16384" width="9.140625" collapsed="1"/>
  </cols>
  <sheetData>
    <row r="1" spans="1:6">
      <c r="A1" s="93" t="s">
        <v>165</v>
      </c>
      <c r="B1" s="12" t="s">
        <v>86</v>
      </c>
      <c r="C1" s="13"/>
      <c r="D1" s="86"/>
      <c r="E1" s="13"/>
      <c r="F1" s="30"/>
    </row>
    <row r="2" spans="1:6" ht="4.5" customHeight="1">
      <c r="A2" s="78"/>
      <c r="B2" s="78"/>
      <c r="C2" s="79"/>
      <c r="D2" s="87"/>
      <c r="E2" s="79"/>
      <c r="F2" s="79"/>
    </row>
    <row r="3" spans="1:6" ht="25.5">
      <c r="A3" s="92" t="s">
        <v>173</v>
      </c>
      <c r="B3" s="14" t="s">
        <v>174</v>
      </c>
      <c r="C3" s="15" t="s">
        <v>175</v>
      </c>
      <c r="D3" s="88" t="s">
        <v>176</v>
      </c>
      <c r="E3" s="17" t="s">
        <v>177</v>
      </c>
      <c r="F3" s="105" t="s">
        <v>178</v>
      </c>
    </row>
    <row r="4" spans="1:6" s="2" customFormat="1" ht="12.75" customHeight="1">
      <c r="A4" s="8"/>
      <c r="B4" s="5"/>
      <c r="C4" s="45"/>
      <c r="D4" s="82"/>
      <c r="E4" s="38"/>
      <c r="F4" s="38"/>
    </row>
    <row r="5" spans="1:6" ht="63.75">
      <c r="B5" s="102" t="s">
        <v>145</v>
      </c>
      <c r="D5"/>
    </row>
    <row r="6" spans="1:6">
      <c r="A6" s="18"/>
      <c r="B6" s="22"/>
      <c r="C6" s="23"/>
      <c r="D6" s="25"/>
      <c r="E6" s="25"/>
      <c r="F6" s="25"/>
    </row>
    <row r="7" spans="1:6" ht="89.25">
      <c r="A7" s="18" t="s">
        <v>179</v>
      </c>
      <c r="B7" s="22" t="s">
        <v>146</v>
      </c>
      <c r="C7" s="23" t="s">
        <v>104</v>
      </c>
      <c r="D7" s="25">
        <v>244.5</v>
      </c>
      <c r="E7" s="25">
        <v>37</v>
      </c>
      <c r="F7" s="25">
        <f>D7*E7</f>
        <v>9046.5</v>
      </c>
    </row>
    <row r="8" spans="1:6">
      <c r="A8" s="18"/>
      <c r="B8" s="22"/>
      <c r="C8" s="23"/>
      <c r="D8" s="25"/>
      <c r="E8" s="25"/>
      <c r="F8" s="25"/>
    </row>
    <row r="9" spans="1:6" ht="38.25">
      <c r="A9" s="18" t="s">
        <v>181</v>
      </c>
      <c r="B9" s="22" t="s">
        <v>4</v>
      </c>
      <c r="C9" s="23" t="s">
        <v>107</v>
      </c>
      <c r="D9" s="25">
        <v>14</v>
      </c>
      <c r="E9" s="25">
        <v>19.89</v>
      </c>
      <c r="F9" s="25">
        <f>D9*E9</f>
        <v>278.46000000000004</v>
      </c>
    </row>
    <row r="10" spans="1:6">
      <c r="A10" s="18"/>
      <c r="B10" s="22"/>
      <c r="C10" s="23"/>
      <c r="D10" s="25"/>
      <c r="E10" s="25"/>
      <c r="F10" s="25"/>
    </row>
    <row r="11" spans="1:6" ht="39" customHeight="1">
      <c r="A11" s="18" t="s">
        <v>109</v>
      </c>
      <c r="B11" s="22" t="s">
        <v>5</v>
      </c>
      <c r="C11" s="23" t="s">
        <v>182</v>
      </c>
      <c r="D11" s="25">
        <v>4</v>
      </c>
      <c r="E11" s="25">
        <v>180</v>
      </c>
      <c r="F11" s="25">
        <f>D11*E11</f>
        <v>720</v>
      </c>
    </row>
    <row r="12" spans="1:6">
      <c r="A12" s="18"/>
      <c r="B12" s="22"/>
      <c r="C12" s="23"/>
      <c r="D12" s="25"/>
      <c r="E12" s="25"/>
      <c r="F12" s="25"/>
    </row>
    <row r="13" spans="1:6" ht="76.5">
      <c r="A13" s="18" t="s">
        <v>110</v>
      </c>
      <c r="B13" s="22" t="s">
        <v>35</v>
      </c>
      <c r="C13" s="23" t="s">
        <v>107</v>
      </c>
      <c r="D13" s="25">
        <v>103.2</v>
      </c>
      <c r="E13" s="25">
        <v>50</v>
      </c>
      <c r="F13" s="25">
        <f>D13*E13</f>
        <v>5160</v>
      </c>
    </row>
    <row r="14" spans="1:6">
      <c r="A14" s="18"/>
      <c r="B14" s="22"/>
      <c r="C14" s="23"/>
      <c r="D14" s="25"/>
      <c r="E14" s="25"/>
      <c r="F14" s="25"/>
    </row>
    <row r="15" spans="1:6" ht="76.5">
      <c r="A15" s="18" t="s">
        <v>111</v>
      </c>
      <c r="B15" s="22" t="s">
        <v>36</v>
      </c>
      <c r="C15" s="23" t="s">
        <v>107</v>
      </c>
      <c r="D15" s="25">
        <v>103.2</v>
      </c>
      <c r="E15" s="25">
        <v>14.9</v>
      </c>
      <c r="F15" s="25">
        <f>D15*E15</f>
        <v>1537.68</v>
      </c>
    </row>
    <row r="16" spans="1:6">
      <c r="A16" s="18"/>
      <c r="B16" s="22"/>
      <c r="C16" s="23"/>
      <c r="D16" s="25"/>
      <c r="E16" s="25"/>
      <c r="F16" s="25"/>
    </row>
    <row r="17" spans="1:6" ht="51">
      <c r="A17" s="18" t="s">
        <v>112</v>
      </c>
      <c r="B17" s="22" t="s">
        <v>37</v>
      </c>
      <c r="C17" s="23" t="s">
        <v>107</v>
      </c>
      <c r="D17" s="25">
        <v>103.2</v>
      </c>
      <c r="E17" s="25">
        <v>20</v>
      </c>
      <c r="F17" s="25">
        <f>D17*E17</f>
        <v>2064</v>
      </c>
    </row>
    <row r="18" spans="1:6">
      <c r="A18" s="18"/>
      <c r="B18" s="22"/>
      <c r="C18" s="23"/>
      <c r="D18" s="25"/>
      <c r="E18" s="25"/>
      <c r="F18" s="25"/>
    </row>
    <row r="19" spans="1:6" ht="39" customHeight="1">
      <c r="A19" s="18" t="s">
        <v>113</v>
      </c>
      <c r="B19" s="22" t="s">
        <v>38</v>
      </c>
      <c r="C19" s="23" t="s">
        <v>107</v>
      </c>
      <c r="D19" s="25">
        <v>94.2</v>
      </c>
      <c r="E19" s="25">
        <v>32</v>
      </c>
      <c r="F19" s="25">
        <f>D19*E19</f>
        <v>3014.4</v>
      </c>
    </row>
    <row r="20" spans="1:6">
      <c r="A20" s="18"/>
      <c r="B20" s="22"/>
      <c r="C20" s="23"/>
      <c r="D20" s="25"/>
      <c r="E20" s="25"/>
      <c r="F20" s="25"/>
    </row>
    <row r="21" spans="1:6" ht="25.5">
      <c r="A21" s="18" t="s">
        <v>114</v>
      </c>
      <c r="B21" s="94" t="s">
        <v>39</v>
      </c>
      <c r="C21" s="23" t="s">
        <v>107</v>
      </c>
      <c r="D21" s="25">
        <v>25</v>
      </c>
      <c r="E21" s="41">
        <v>25</v>
      </c>
      <c r="F21" s="25">
        <f>D21*E21</f>
        <v>625</v>
      </c>
    </row>
    <row r="22" spans="1:6" ht="13.5" customHeight="1">
      <c r="A22" s="42"/>
      <c r="B22" s="40"/>
      <c r="C22" s="23"/>
      <c r="D22" s="25"/>
      <c r="E22" s="25"/>
      <c r="F22" s="25"/>
    </row>
    <row r="23" spans="1:6" ht="38.25">
      <c r="A23" s="18" t="s">
        <v>115</v>
      </c>
      <c r="B23" s="94" t="s">
        <v>40</v>
      </c>
      <c r="C23" s="23" t="s">
        <v>41</v>
      </c>
      <c r="D23" s="25">
        <v>1</v>
      </c>
      <c r="E23" s="25">
        <v>673.38</v>
      </c>
      <c r="F23" s="25">
        <f>D23*E23</f>
        <v>673.38</v>
      </c>
    </row>
    <row r="24" spans="1:6" ht="9.9499999999999993" customHeight="1">
      <c r="A24" s="18"/>
      <c r="B24" s="26"/>
      <c r="C24" s="27"/>
      <c r="D24" s="89"/>
      <c r="E24" s="43"/>
      <c r="F24" s="43"/>
    </row>
    <row r="25" spans="1:6" ht="9.9499999999999993" customHeight="1">
      <c r="A25" s="29"/>
      <c r="B25" s="4"/>
      <c r="C25" s="19"/>
      <c r="D25" s="31"/>
      <c r="E25" s="21"/>
      <c r="F25" s="21"/>
    </row>
    <row r="26" spans="1:6" ht="12.75" customHeight="1">
      <c r="A26" s="18"/>
      <c r="B26" s="5"/>
      <c r="C26" s="9" t="s">
        <v>162</v>
      </c>
      <c r="D26" s="31"/>
      <c r="E26" s="21"/>
      <c r="F26" s="38">
        <f>SUM(F4:F23)</f>
        <v>23119.420000000002</v>
      </c>
    </row>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workbookViewId="0">
      <selection activeCell="B30" sqref="B30"/>
    </sheetView>
  </sheetViews>
  <sheetFormatPr defaultColWidth="9.140625" defaultRowHeight="12.75"/>
  <cols>
    <col min="1" max="1" width="7.28515625" customWidth="1" collapsed="1"/>
    <col min="2" max="2" width="51.5703125" customWidth="1" collapsed="1"/>
    <col min="3" max="3" width="6.140625" customWidth="1" collapsed="1"/>
    <col min="4" max="4" width="8.28515625" customWidth="1" collapsed="1"/>
    <col min="5" max="5" width="9.140625" collapsed="1"/>
    <col min="6" max="6" width="12.85546875" customWidth="1" collapsed="1"/>
    <col min="7" max="16384" width="9.140625" collapsed="1"/>
  </cols>
  <sheetData>
    <row r="1" spans="1:6">
      <c r="A1" s="93" t="s">
        <v>166</v>
      </c>
      <c r="B1" s="12" t="s">
        <v>87</v>
      </c>
      <c r="C1" s="13"/>
      <c r="D1" s="13"/>
      <c r="E1" s="13"/>
      <c r="F1" s="30"/>
    </row>
    <row r="2" spans="1:6" ht="4.5" customHeight="1">
      <c r="A2" s="78"/>
      <c r="B2" s="78"/>
      <c r="C2" s="79"/>
      <c r="D2" s="79"/>
      <c r="E2" s="79"/>
      <c r="F2" s="79"/>
    </row>
    <row r="3" spans="1:6" ht="25.5">
      <c r="A3" s="92" t="s">
        <v>173</v>
      </c>
      <c r="B3" s="14" t="s">
        <v>174</v>
      </c>
      <c r="C3" s="15" t="s">
        <v>175</v>
      </c>
      <c r="D3" s="16" t="s">
        <v>176</v>
      </c>
      <c r="E3" s="17" t="s">
        <v>177</v>
      </c>
      <c r="F3" s="105" t="s">
        <v>178</v>
      </c>
    </row>
    <row r="4" spans="1:6" s="23" customFormat="1" ht="12.75" customHeight="1">
      <c r="A4" s="2"/>
      <c r="B4" s="2"/>
      <c r="C4"/>
      <c r="D4"/>
      <c r="E4"/>
      <c r="F4"/>
    </row>
    <row r="5" spans="1:6" s="23" customFormat="1" ht="76.5">
      <c r="A5" s="41"/>
      <c r="B5" s="103" t="s">
        <v>42</v>
      </c>
      <c r="C5"/>
      <c r="D5"/>
      <c r="E5"/>
      <c r="F5"/>
    </row>
    <row r="6" spans="1:6" s="23" customFormat="1">
      <c r="A6" s="18"/>
      <c r="B6" s="67"/>
      <c r="C6"/>
      <c r="D6"/>
      <c r="E6"/>
      <c r="F6"/>
    </row>
    <row r="7" spans="1:6" s="23" customFormat="1" ht="25.5">
      <c r="A7" s="18" t="s">
        <v>179</v>
      </c>
      <c r="B7" s="4" t="s">
        <v>43</v>
      </c>
      <c r="C7" t="s">
        <v>182</v>
      </c>
      <c r="D7" s="95">
        <v>21</v>
      </c>
      <c r="E7">
        <v>96</v>
      </c>
      <c r="F7">
        <f>D7*E7</f>
        <v>2016</v>
      </c>
    </row>
    <row r="8" spans="1:6" s="23" customFormat="1" ht="12.75" customHeight="1">
      <c r="A8" s="41"/>
      <c r="B8"/>
      <c r="D8" s="25"/>
      <c r="E8" s="25"/>
      <c r="F8"/>
    </row>
    <row r="9" spans="1:6" s="23" customFormat="1" ht="25.5">
      <c r="A9" s="18" t="s">
        <v>181</v>
      </c>
      <c r="B9" s="4" t="s">
        <v>44</v>
      </c>
      <c r="D9" s="25"/>
      <c r="E9" s="25"/>
      <c r="F9"/>
    </row>
    <row r="10" spans="1:6" s="23" customFormat="1">
      <c r="A10" s="18"/>
      <c r="B10" s="4"/>
      <c r="D10" s="25"/>
      <c r="E10" s="25"/>
      <c r="F10"/>
    </row>
    <row r="11" spans="1:6" s="23" customFormat="1" ht="12.75" customHeight="1">
      <c r="A11" s="41"/>
      <c r="B11" s="67" t="s">
        <v>45</v>
      </c>
      <c r="C11" s="23" t="s">
        <v>182</v>
      </c>
      <c r="D11" s="25">
        <v>2</v>
      </c>
      <c r="E11" s="25">
        <v>353.7</v>
      </c>
      <c r="F11">
        <f t="shared" ref="F11:F27" si="0">D11*E11</f>
        <v>707.4</v>
      </c>
    </row>
    <row r="12" spans="1:6" s="23" customFormat="1" ht="12.75" customHeight="1">
      <c r="A12" s="41"/>
      <c r="B12" s="67"/>
      <c r="D12" s="25"/>
      <c r="E12" s="25"/>
      <c r="F12"/>
    </row>
    <row r="13" spans="1:6" s="23" customFormat="1" ht="12.75" customHeight="1">
      <c r="A13" s="41"/>
      <c r="B13" s="67" t="s">
        <v>46</v>
      </c>
      <c r="C13" s="23" t="s">
        <v>182</v>
      </c>
      <c r="D13" s="25">
        <v>1</v>
      </c>
      <c r="E13" s="25">
        <v>661.78</v>
      </c>
      <c r="F13">
        <f t="shared" si="0"/>
        <v>661.78</v>
      </c>
    </row>
    <row r="14" spans="1:6" s="23" customFormat="1" ht="12.75" customHeight="1">
      <c r="A14" s="41"/>
      <c r="B14" s="67"/>
      <c r="D14" s="25"/>
      <c r="E14" s="25"/>
      <c r="F14"/>
    </row>
    <row r="15" spans="1:6" s="23" customFormat="1" ht="38.25">
      <c r="A15" s="18" t="s">
        <v>109</v>
      </c>
      <c r="B15" s="4" t="s">
        <v>47</v>
      </c>
      <c r="C15" s="23" t="s">
        <v>107</v>
      </c>
      <c r="D15" s="25">
        <v>153.80000000000001</v>
      </c>
      <c r="E15" s="25">
        <v>22.8</v>
      </c>
      <c r="F15">
        <f t="shared" si="0"/>
        <v>3506.6400000000003</v>
      </c>
    </row>
    <row r="16" spans="1:6" s="23" customFormat="1" ht="12.75" customHeight="1">
      <c r="A16" s="41"/>
      <c r="B16" s="67"/>
      <c r="D16" s="25"/>
      <c r="E16" s="25"/>
      <c r="F16"/>
    </row>
    <row r="17" spans="1:6" s="23" customFormat="1" ht="38.25">
      <c r="A17" s="18" t="s">
        <v>110</v>
      </c>
      <c r="B17" s="4" t="s">
        <v>48</v>
      </c>
      <c r="C17" s="23" t="s">
        <v>182</v>
      </c>
      <c r="D17" s="25">
        <v>1</v>
      </c>
      <c r="E17" s="25">
        <v>90</v>
      </c>
      <c r="F17">
        <f t="shared" si="0"/>
        <v>90</v>
      </c>
    </row>
    <row r="18" spans="1:6" s="23" customFormat="1" ht="12.75" customHeight="1">
      <c r="A18" s="18"/>
      <c r="B18" s="4"/>
      <c r="D18" s="25"/>
      <c r="E18" s="25"/>
      <c r="F18"/>
    </row>
    <row r="19" spans="1:6" s="23" customFormat="1" ht="25.5">
      <c r="A19" s="18" t="s">
        <v>111</v>
      </c>
      <c r="B19" s="4" t="s">
        <v>49</v>
      </c>
      <c r="C19" s="23" t="s">
        <v>107</v>
      </c>
      <c r="D19" s="25">
        <v>48.5</v>
      </c>
      <c r="E19" s="25">
        <v>20</v>
      </c>
      <c r="F19">
        <f t="shared" si="0"/>
        <v>970</v>
      </c>
    </row>
    <row r="20" spans="1:6" s="23" customFormat="1" ht="12.75" customHeight="1">
      <c r="A20" s="18"/>
      <c r="B20" s="4"/>
      <c r="D20" s="25"/>
      <c r="E20" s="25"/>
      <c r="F20"/>
    </row>
    <row r="21" spans="1:6" s="23" customFormat="1" ht="38.25">
      <c r="A21" s="18" t="s">
        <v>112</v>
      </c>
      <c r="B21" s="4" t="s">
        <v>50</v>
      </c>
      <c r="C21" s="23" t="s">
        <v>107</v>
      </c>
      <c r="D21" s="25">
        <v>43.5</v>
      </c>
      <c r="E21" s="25">
        <v>40</v>
      </c>
      <c r="F21">
        <f t="shared" si="0"/>
        <v>1740</v>
      </c>
    </row>
    <row r="22" spans="1:6" s="23" customFormat="1" ht="12.75" customHeight="1">
      <c r="A22" s="18"/>
      <c r="B22" s="48"/>
      <c r="D22" s="25"/>
      <c r="E22" s="25"/>
      <c r="F22"/>
    </row>
    <row r="23" spans="1:6" s="23" customFormat="1" ht="25.5">
      <c r="A23" s="18" t="s">
        <v>113</v>
      </c>
      <c r="B23" s="4" t="s">
        <v>93</v>
      </c>
      <c r="C23" s="23" t="s">
        <v>130</v>
      </c>
      <c r="D23" s="25">
        <v>100</v>
      </c>
      <c r="E23" s="25">
        <v>5</v>
      </c>
      <c r="F23">
        <f t="shared" si="0"/>
        <v>500</v>
      </c>
    </row>
    <row r="24" spans="1:6" s="23" customFormat="1" ht="12.75" customHeight="1">
      <c r="A24" s="18"/>
      <c r="B24" s="48"/>
      <c r="D24" s="25"/>
      <c r="E24" s="25"/>
      <c r="F24"/>
    </row>
    <row r="25" spans="1:6" s="23" customFormat="1" ht="51">
      <c r="A25" s="18" t="s">
        <v>114</v>
      </c>
      <c r="B25" s="4" t="s">
        <v>94</v>
      </c>
      <c r="C25" s="23" t="s">
        <v>182</v>
      </c>
      <c r="D25" s="25">
        <v>14</v>
      </c>
      <c r="E25" s="25">
        <v>100</v>
      </c>
      <c r="F25">
        <f t="shared" si="0"/>
        <v>1400</v>
      </c>
    </row>
    <row r="26" spans="1:6" s="23" customFormat="1" ht="12.75" customHeight="1">
      <c r="A26" s="18"/>
      <c r="B26" s="48"/>
      <c r="D26" s="25"/>
      <c r="E26" s="25"/>
      <c r="F26"/>
    </row>
    <row r="27" spans="1:6" s="23" customFormat="1" ht="25.5">
      <c r="A27" s="18" t="s">
        <v>115</v>
      </c>
      <c r="B27" s="4" t="s">
        <v>95</v>
      </c>
      <c r="C27" s="23" t="s">
        <v>107</v>
      </c>
      <c r="D27" s="25">
        <v>38.9</v>
      </c>
      <c r="E27" s="25">
        <v>18</v>
      </c>
      <c r="F27">
        <f t="shared" si="0"/>
        <v>700.19999999999993</v>
      </c>
    </row>
    <row r="28" spans="1:6" s="23" customFormat="1" ht="9.75" customHeight="1">
      <c r="A28" s="46"/>
      <c r="B28" s="68"/>
      <c r="C28" s="11"/>
      <c r="D28" s="69"/>
      <c r="E28" s="69"/>
      <c r="F28" s="69"/>
    </row>
    <row r="29" spans="1:6" s="23" customFormat="1" ht="9.75" customHeight="1">
      <c r="A29"/>
      <c r="B29"/>
      <c r="C29"/>
      <c r="D29" s="70"/>
      <c r="E29" s="70"/>
      <c r="F29" s="70"/>
    </row>
    <row r="30" spans="1:6" s="23" customFormat="1" ht="12.75" customHeight="1">
      <c r="A30"/>
      <c r="B30" s="5"/>
      <c r="C30" s="9" t="s">
        <v>162</v>
      </c>
      <c r="D30" s="38"/>
      <c r="E30" s="70"/>
      <c r="F30" s="83">
        <f>SUM(F5:F29)</f>
        <v>12292.02</v>
      </c>
    </row>
    <row r="43"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workbookViewId="0">
      <selection activeCell="B30" sqref="B30"/>
    </sheetView>
  </sheetViews>
  <sheetFormatPr defaultRowHeight="12.75"/>
  <cols>
    <col min="1" max="1" width="7.28515625" customWidth="1" collapsed="1"/>
    <col min="2" max="2" width="51.5703125" customWidth="1" collapsed="1"/>
    <col min="3" max="3" width="6.140625" customWidth="1" collapsed="1"/>
    <col min="4" max="4" width="8.28515625" customWidth="1" collapsed="1"/>
    <col min="6" max="6" width="12.85546875" customWidth="1" collapsed="1"/>
  </cols>
  <sheetData>
    <row r="1" spans="1:6">
      <c r="A1" s="93" t="s">
        <v>167</v>
      </c>
      <c r="B1" s="12" t="s">
        <v>140</v>
      </c>
      <c r="C1" s="13"/>
      <c r="D1" s="13"/>
      <c r="E1" s="13"/>
      <c r="F1" s="30"/>
    </row>
    <row r="2" spans="1:6" ht="4.5" customHeight="1">
      <c r="A2" s="78"/>
      <c r="B2" s="78"/>
      <c r="C2" s="79"/>
      <c r="D2" s="79"/>
      <c r="E2" s="79"/>
      <c r="F2" s="79"/>
    </row>
    <row r="3" spans="1:6" ht="25.5">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89.25" customHeight="1">
      <c r="A5" s="18"/>
      <c r="B5" s="96" t="s">
        <v>96</v>
      </c>
      <c r="C5" s="23"/>
      <c r="D5" s="24"/>
      <c r="E5" s="25"/>
      <c r="F5" s="25"/>
    </row>
    <row r="6" spans="1:6" s="10" customFormat="1">
      <c r="A6" s="18"/>
      <c r="B6" s="4"/>
      <c r="C6" s="23"/>
      <c r="D6" s="24"/>
      <c r="E6" s="25"/>
      <c r="F6" s="25"/>
    </row>
    <row r="7" spans="1:6" s="10" customFormat="1" ht="63.75">
      <c r="A7" s="18" t="s">
        <v>179</v>
      </c>
      <c r="B7" s="22" t="s">
        <v>97</v>
      </c>
      <c r="C7" s="23"/>
      <c r="D7" s="24"/>
      <c r="E7" s="25"/>
      <c r="F7" s="25"/>
    </row>
    <row r="8" spans="1:6" s="10" customFormat="1">
      <c r="A8" s="18"/>
      <c r="B8" s="22"/>
      <c r="C8" s="23"/>
      <c r="D8" s="24"/>
      <c r="E8" s="25"/>
      <c r="F8" s="25"/>
    </row>
    <row r="9" spans="1:6" s="10" customFormat="1" ht="25.5">
      <c r="A9" s="18"/>
      <c r="B9" s="22" t="s">
        <v>98</v>
      </c>
      <c r="C9" s="23" t="s">
        <v>182</v>
      </c>
      <c r="D9" s="24">
        <v>1</v>
      </c>
      <c r="E9" s="25">
        <v>487.3</v>
      </c>
      <c r="F9" s="25">
        <f>D9*E9</f>
        <v>487.3</v>
      </c>
    </row>
    <row r="10" spans="1:6" s="10" customFormat="1">
      <c r="A10" s="18"/>
      <c r="B10" s="22"/>
      <c r="C10" s="23"/>
      <c r="D10" s="24"/>
      <c r="E10" s="25"/>
      <c r="F10" s="25"/>
    </row>
    <row r="11" spans="1:6" s="10" customFormat="1" ht="25.5">
      <c r="A11" s="18"/>
      <c r="B11" s="22" t="s">
        <v>99</v>
      </c>
      <c r="C11" s="23" t="s">
        <v>182</v>
      </c>
      <c r="D11" s="24">
        <v>1</v>
      </c>
      <c r="E11" s="25">
        <v>454.9</v>
      </c>
      <c r="F11" s="25">
        <f>D11*E11</f>
        <v>454.9</v>
      </c>
    </row>
    <row r="12" spans="1:6" s="10" customFormat="1">
      <c r="A12" s="18"/>
      <c r="B12" s="22"/>
      <c r="C12" s="23"/>
      <c r="D12" s="24"/>
      <c r="E12" s="25"/>
      <c r="F12" s="25"/>
    </row>
    <row r="13" spans="1:6" s="10" customFormat="1" ht="25.5">
      <c r="A13" s="18"/>
      <c r="B13" s="22" t="s">
        <v>100</v>
      </c>
      <c r="C13" s="23" t="s">
        <v>182</v>
      </c>
      <c r="D13" s="24">
        <v>2</v>
      </c>
      <c r="E13" s="25">
        <v>844</v>
      </c>
      <c r="F13" s="25">
        <f>D13*E13</f>
        <v>1688</v>
      </c>
    </row>
    <row r="14" spans="1:6" s="10" customFormat="1">
      <c r="A14" s="18"/>
      <c r="B14" s="22"/>
      <c r="C14" s="23"/>
      <c r="D14" s="24"/>
      <c r="E14" s="25"/>
      <c r="F14" s="25"/>
    </row>
    <row r="15" spans="1:6" s="10" customFormat="1" ht="25.5">
      <c r="A15" s="18"/>
      <c r="B15" s="22" t="s">
        <v>101</v>
      </c>
      <c r="C15" s="23" t="s">
        <v>182</v>
      </c>
      <c r="D15" s="24">
        <v>1</v>
      </c>
      <c r="E15" s="25">
        <v>904.3</v>
      </c>
      <c r="F15" s="25">
        <f>D15*E15</f>
        <v>904.3</v>
      </c>
    </row>
    <row r="16" spans="1:6" s="10" customFormat="1">
      <c r="A16" s="18"/>
      <c r="B16" s="22"/>
      <c r="C16" s="23"/>
      <c r="D16" s="24"/>
      <c r="E16" s="25"/>
      <c r="F16" s="25"/>
    </row>
    <row r="17" spans="1:6" s="10" customFormat="1" ht="51">
      <c r="A17" s="18"/>
      <c r="B17" s="22" t="s">
        <v>102</v>
      </c>
      <c r="C17" s="23" t="s">
        <v>182</v>
      </c>
      <c r="D17" s="24">
        <v>2</v>
      </c>
      <c r="E17" s="25">
        <v>1980.1</v>
      </c>
      <c r="F17" s="25">
        <f>D17*E17</f>
        <v>3960.2</v>
      </c>
    </row>
    <row r="18" spans="1:6" s="10" customFormat="1" ht="24.75" customHeight="1">
      <c r="A18" s="18"/>
      <c r="B18" s="22"/>
      <c r="C18" s="23"/>
      <c r="D18" s="24"/>
      <c r="E18" s="25"/>
      <c r="F18" s="25"/>
    </row>
    <row r="19" spans="1:6" s="10" customFormat="1" ht="63.75">
      <c r="A19" s="18" t="s">
        <v>181</v>
      </c>
      <c r="B19" s="22" t="s">
        <v>103</v>
      </c>
      <c r="C19" s="23"/>
      <c r="D19" s="24"/>
      <c r="E19" s="25"/>
      <c r="F19" s="25"/>
    </row>
    <row r="20" spans="1:6" s="10" customFormat="1">
      <c r="A20" s="18"/>
      <c r="B20" s="22"/>
      <c r="C20" s="23"/>
      <c r="D20" s="24"/>
      <c r="E20" s="25"/>
      <c r="F20" s="25"/>
    </row>
    <row r="21" spans="1:6" s="10" customFormat="1">
      <c r="A21" s="18"/>
      <c r="B21" s="22" t="s">
        <v>30</v>
      </c>
      <c r="C21" s="23" t="s">
        <v>182</v>
      </c>
      <c r="D21" s="24">
        <v>6</v>
      </c>
      <c r="E21" s="25">
        <v>1409</v>
      </c>
      <c r="F21" s="25">
        <f>D21*E21</f>
        <v>8454</v>
      </c>
    </row>
    <row r="22" spans="1:6" s="10" customFormat="1">
      <c r="A22" s="18"/>
      <c r="B22" s="22"/>
      <c r="C22" s="23"/>
      <c r="D22" s="24"/>
      <c r="E22" s="25"/>
      <c r="F22" s="25"/>
    </row>
    <row r="23" spans="1:6" s="10" customFormat="1">
      <c r="A23" s="18"/>
      <c r="B23" s="22" t="s">
        <v>31</v>
      </c>
      <c r="C23" s="23" t="s">
        <v>182</v>
      </c>
      <c r="D23" s="24">
        <v>6</v>
      </c>
      <c r="E23" s="25">
        <v>1534.1</v>
      </c>
      <c r="F23" s="25">
        <f>D23*E23</f>
        <v>9204.5999999999985</v>
      </c>
    </row>
    <row r="24" spans="1:6" s="10" customFormat="1">
      <c r="A24" s="18"/>
      <c r="B24" s="22"/>
      <c r="C24" s="23"/>
      <c r="D24" s="24"/>
      <c r="E24" s="25"/>
      <c r="F24" s="25"/>
    </row>
    <row r="25" spans="1:6" s="10" customFormat="1" ht="90" customHeight="1">
      <c r="A25" s="18"/>
      <c r="B25" s="22" t="s">
        <v>32</v>
      </c>
      <c r="C25" s="23" t="s">
        <v>182</v>
      </c>
      <c r="D25" s="24">
        <v>8</v>
      </c>
      <c r="E25" s="25">
        <v>1625.5</v>
      </c>
      <c r="F25" s="25">
        <f>D25*E25</f>
        <v>13004</v>
      </c>
    </row>
    <row r="26" spans="1:6" s="10" customFormat="1">
      <c r="A26" s="18"/>
      <c r="B26" s="22"/>
      <c r="C26" s="23"/>
      <c r="D26" s="24"/>
      <c r="E26" s="25"/>
      <c r="F26" s="25"/>
    </row>
    <row r="27" spans="1:6" s="10" customFormat="1" ht="25.5">
      <c r="A27" s="18"/>
      <c r="B27" s="22" t="s">
        <v>33</v>
      </c>
      <c r="C27" s="23" t="s">
        <v>182</v>
      </c>
      <c r="D27" s="24">
        <v>1</v>
      </c>
      <c r="E27" s="25">
        <v>3444</v>
      </c>
      <c r="F27" s="25">
        <f>D27*E27</f>
        <v>3444</v>
      </c>
    </row>
    <row r="28" spans="1:6" s="10" customFormat="1">
      <c r="A28" s="18"/>
      <c r="B28" s="22"/>
      <c r="C28" s="23"/>
      <c r="D28" s="24"/>
      <c r="E28" s="25"/>
      <c r="F28" s="25"/>
    </row>
    <row r="29" spans="1:6" s="10" customFormat="1" ht="25.5">
      <c r="A29" s="18"/>
      <c r="B29" s="22" t="s">
        <v>34</v>
      </c>
      <c r="C29" s="23" t="s">
        <v>182</v>
      </c>
      <c r="D29" s="24">
        <v>1</v>
      </c>
      <c r="E29" s="25">
        <v>1520.6</v>
      </c>
      <c r="F29" s="25">
        <f>D29*E29</f>
        <v>1520.6</v>
      </c>
    </row>
    <row r="30" spans="1:6" s="10" customFormat="1">
      <c r="A30" s="18"/>
      <c r="B30" s="22"/>
      <c r="C30" s="23"/>
      <c r="D30" s="24"/>
      <c r="E30" s="25"/>
      <c r="F30" s="25"/>
    </row>
    <row r="31" spans="1:6" s="10" customFormat="1" ht="25.5">
      <c r="A31" s="18"/>
      <c r="B31" s="22" t="s">
        <v>271</v>
      </c>
      <c r="C31" s="23" t="s">
        <v>182</v>
      </c>
      <c r="D31" s="24">
        <v>6</v>
      </c>
      <c r="E31" s="25">
        <v>1333.7</v>
      </c>
      <c r="F31" s="25">
        <f>D31*E31</f>
        <v>8002.2000000000007</v>
      </c>
    </row>
    <row r="32" spans="1:6" s="10" customFormat="1">
      <c r="A32" s="18"/>
      <c r="B32" s="22"/>
      <c r="C32" s="23"/>
      <c r="D32" s="24"/>
      <c r="E32" s="25"/>
      <c r="F32" s="25"/>
    </row>
    <row r="33" spans="1:6" s="10" customFormat="1" ht="25.5">
      <c r="A33" s="18" t="s">
        <v>109</v>
      </c>
      <c r="B33" s="22" t="s">
        <v>272</v>
      </c>
      <c r="C33" s="23" t="s">
        <v>107</v>
      </c>
      <c r="D33" s="24">
        <v>13.9</v>
      </c>
      <c r="E33" s="25">
        <v>21.7</v>
      </c>
      <c r="F33" s="25">
        <f>D33*E33</f>
        <v>301.63</v>
      </c>
    </row>
    <row r="34" spans="1:6" s="10" customFormat="1">
      <c r="A34" s="18"/>
      <c r="B34" s="22"/>
      <c r="C34" s="23"/>
      <c r="D34" s="24"/>
      <c r="E34" s="25"/>
      <c r="F34" s="25"/>
    </row>
    <row r="35" spans="1:6" s="10" customFormat="1">
      <c r="A35" s="18" t="s">
        <v>110</v>
      </c>
      <c r="B35" s="22" t="s">
        <v>273</v>
      </c>
      <c r="C35" s="23"/>
      <c r="D35" s="24"/>
      <c r="E35" s="25"/>
      <c r="F35" s="25"/>
    </row>
    <row r="36" spans="1:6" s="10" customFormat="1">
      <c r="A36" s="18"/>
      <c r="B36" s="22"/>
      <c r="C36" s="23"/>
      <c r="D36" s="24"/>
      <c r="E36" s="25"/>
      <c r="F36" s="25"/>
    </row>
    <row r="37" spans="1:6" s="10" customFormat="1">
      <c r="A37" s="18"/>
      <c r="B37" s="22" t="s">
        <v>274</v>
      </c>
      <c r="C37" s="23" t="s">
        <v>182</v>
      </c>
      <c r="D37" s="24">
        <v>2</v>
      </c>
      <c r="E37" s="25">
        <v>89.6</v>
      </c>
      <c r="F37" s="25">
        <f>D37*E37</f>
        <v>179.2</v>
      </c>
    </row>
    <row r="38" spans="1:6" s="10" customFormat="1">
      <c r="A38" s="18"/>
      <c r="B38" s="22"/>
      <c r="C38" s="23"/>
      <c r="D38" s="24"/>
      <c r="E38" s="25"/>
      <c r="F38" s="25"/>
    </row>
    <row r="39" spans="1:6" s="10" customFormat="1">
      <c r="A39" s="18"/>
      <c r="B39" s="22" t="s">
        <v>275</v>
      </c>
      <c r="C39" s="23" t="s">
        <v>182</v>
      </c>
      <c r="D39" s="24">
        <v>2</v>
      </c>
      <c r="E39" s="25">
        <v>68</v>
      </c>
      <c r="F39" s="25">
        <f>D39*E39</f>
        <v>136</v>
      </c>
    </row>
    <row r="40" spans="1:6">
      <c r="A40" s="18"/>
      <c r="B40" s="26"/>
      <c r="C40" s="27"/>
      <c r="D40" s="28"/>
      <c r="E40" s="43"/>
      <c r="F40" s="43"/>
    </row>
    <row r="41" spans="1:6" ht="9.9499999999999993" customHeight="1">
      <c r="A41" s="29"/>
      <c r="B41" s="4"/>
      <c r="C41" s="19"/>
      <c r="D41" s="20"/>
      <c r="E41" s="21"/>
      <c r="F41" s="21"/>
    </row>
    <row r="42" spans="1:6" ht="12.75" customHeight="1">
      <c r="A42" s="18"/>
      <c r="B42" s="5"/>
      <c r="C42" s="9" t="s">
        <v>162</v>
      </c>
      <c r="D42" s="20"/>
      <c r="E42" s="21"/>
      <c r="F42" s="38">
        <f>SUM(F4:F40)</f>
        <v>51740.93</v>
      </c>
    </row>
    <row r="53"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2:IW62"/>
  <sheetViews>
    <sheetView showZeros="0" tabSelected="1" view="pageBreakPreview" zoomScale="145" zoomScaleNormal="100" zoomScaleSheetLayoutView="145" workbookViewId="0">
      <selection activeCell="C38" sqref="C38"/>
    </sheetView>
  </sheetViews>
  <sheetFormatPr defaultColWidth="9.140625" defaultRowHeight="12.75"/>
  <cols>
    <col min="1" max="1" width="9.140625" style="267" collapsed="1"/>
    <col min="2" max="2" width="4.7109375" style="267" customWidth="1" collapsed="1"/>
    <col min="3" max="3" width="49.7109375" style="267" customWidth="1" collapsed="1"/>
    <col min="4" max="4" width="13.28515625" style="426" customWidth="1" collapsed="1"/>
    <col min="5" max="5" width="8" style="267" customWidth="1" collapsed="1"/>
    <col min="6" max="6" width="0.140625" style="267" customWidth="1" collapsed="1"/>
    <col min="7" max="7" width="11.7109375" style="437" bestFit="1" customWidth="1" collapsed="1"/>
    <col min="8" max="240" width="9.140625" style="124" collapsed="1"/>
    <col min="241" max="249" width="9.140625" style="124"/>
    <col min="250" max="250" width="9.140625" style="124" collapsed="1"/>
    <col min="251" max="257" width="9.140625" style="124"/>
    <col min="258" max="16384" width="9.140625" style="124" collapsed="1"/>
  </cols>
  <sheetData>
    <row r="2" spans="1:7">
      <c r="A2" s="264" t="s">
        <v>163</v>
      </c>
      <c r="B2" s="265"/>
      <c r="C2" s="458" t="s">
        <v>347</v>
      </c>
      <c r="D2" s="458"/>
      <c r="E2" s="458"/>
      <c r="F2" s="458"/>
    </row>
    <row r="3" spans="1:7">
      <c r="A3" s="266"/>
      <c r="E3" s="268"/>
      <c r="F3" s="269"/>
    </row>
    <row r="4" spans="1:7" ht="18.75">
      <c r="A4" s="266" t="s">
        <v>164</v>
      </c>
      <c r="C4" s="270" t="s">
        <v>827</v>
      </c>
      <c r="E4" s="268"/>
      <c r="F4" s="269"/>
    </row>
    <row r="5" spans="1:7">
      <c r="A5" s="345" t="s">
        <v>280</v>
      </c>
      <c r="C5" s="271" t="s">
        <v>348</v>
      </c>
      <c r="E5" s="268"/>
      <c r="F5" s="269"/>
    </row>
    <row r="6" spans="1:7" s="125" customFormat="1">
      <c r="A6" s="345" t="s">
        <v>281</v>
      </c>
      <c r="B6" s="265"/>
      <c r="C6" s="267" t="s">
        <v>828</v>
      </c>
      <c r="D6" s="427"/>
      <c r="E6" s="272"/>
      <c r="F6" s="273"/>
      <c r="G6" s="438"/>
    </row>
    <row r="7" spans="1:7" s="125" customFormat="1">
      <c r="A7" s="441"/>
      <c r="B7" s="265"/>
      <c r="C7" s="267" t="s">
        <v>817</v>
      </c>
      <c r="D7" s="427"/>
      <c r="E7" s="272"/>
      <c r="F7" s="273"/>
      <c r="G7" s="438"/>
    </row>
    <row r="8" spans="1:7" s="445" customFormat="1">
      <c r="A8" s="455"/>
      <c r="B8" s="448"/>
      <c r="C8" s="449" t="s">
        <v>826</v>
      </c>
      <c r="D8" s="456"/>
      <c r="E8" s="450"/>
      <c r="F8" s="451"/>
      <c r="G8" s="457"/>
    </row>
    <row r="9" spans="1:7" s="125" customFormat="1">
      <c r="A9" s="345"/>
      <c r="B9" s="265"/>
      <c r="C9" s="267"/>
      <c r="D9" s="427"/>
      <c r="E9" s="272"/>
      <c r="F9" s="273"/>
      <c r="G9" s="438"/>
    </row>
    <row r="10" spans="1:7" s="125" customFormat="1" ht="152.44999999999999" customHeight="1">
      <c r="A10" s="345"/>
      <c r="B10" s="265"/>
      <c r="C10" s="459" t="s">
        <v>446</v>
      </c>
      <c r="D10" s="460"/>
      <c r="E10" s="460"/>
      <c r="F10" s="460"/>
      <c r="G10" s="438"/>
    </row>
    <row r="11" spans="1:7" s="125" customFormat="1" ht="62.45" customHeight="1">
      <c r="A11" s="345"/>
      <c r="B11" s="265"/>
      <c r="C11" s="459" t="s">
        <v>322</v>
      </c>
      <c r="D11" s="460"/>
      <c r="E11" s="460"/>
      <c r="F11" s="460"/>
      <c r="G11" s="438"/>
    </row>
    <row r="12" spans="1:7" s="125" customFormat="1" ht="67.5" customHeight="1">
      <c r="A12" s="345"/>
      <c r="B12" s="265"/>
      <c r="C12" s="459" t="s">
        <v>349</v>
      </c>
      <c r="D12" s="460"/>
      <c r="E12" s="460"/>
      <c r="F12" s="460"/>
      <c r="G12" s="438"/>
    </row>
    <row r="13" spans="1:7" s="125" customFormat="1">
      <c r="A13" s="345"/>
      <c r="B13" s="265"/>
      <c r="C13" s="267"/>
      <c r="D13" s="427"/>
      <c r="E13" s="272"/>
      <c r="F13" s="273"/>
      <c r="G13" s="438"/>
    </row>
    <row r="14" spans="1:7" s="125" customFormat="1">
      <c r="A14" s="345"/>
      <c r="B14" s="265"/>
      <c r="C14" s="265" t="s">
        <v>282</v>
      </c>
      <c r="D14" s="427"/>
      <c r="E14" s="272"/>
      <c r="F14" s="273"/>
      <c r="G14" s="438"/>
    </row>
    <row r="15" spans="1:7" s="125" customFormat="1" ht="25.15" customHeight="1">
      <c r="A15" s="345"/>
      <c r="B15" s="265"/>
      <c r="C15" s="461" t="s">
        <v>283</v>
      </c>
      <c r="D15" s="462"/>
      <c r="E15" s="462"/>
      <c r="F15" s="462"/>
      <c r="G15" s="438"/>
    </row>
    <row r="16" spans="1:7" s="125" customFormat="1">
      <c r="A16" s="345"/>
      <c r="B16" s="265"/>
      <c r="C16" s="267" t="s">
        <v>284</v>
      </c>
      <c r="D16" s="427"/>
      <c r="E16" s="272"/>
      <c r="F16" s="273"/>
      <c r="G16" s="438"/>
    </row>
    <row r="17" spans="1:7" s="125" customFormat="1">
      <c r="A17" s="345"/>
      <c r="B17" s="265"/>
      <c r="C17" s="267" t="s">
        <v>285</v>
      </c>
      <c r="D17" s="427"/>
      <c r="E17" s="272"/>
      <c r="F17" s="273"/>
      <c r="G17" s="438"/>
    </row>
    <row r="18" spans="1:7" s="125" customFormat="1">
      <c r="A18" s="345"/>
      <c r="B18" s="265"/>
      <c r="C18" s="267" t="s">
        <v>286</v>
      </c>
      <c r="D18" s="427"/>
      <c r="E18" s="272"/>
      <c r="F18" s="273"/>
      <c r="G18" s="438"/>
    </row>
    <row r="19" spans="1:7" s="125" customFormat="1">
      <c r="A19" s="345"/>
      <c r="B19" s="265"/>
      <c r="C19" s="267" t="s">
        <v>287</v>
      </c>
      <c r="D19" s="427"/>
      <c r="E19" s="272"/>
      <c r="F19" s="273"/>
      <c r="G19" s="438"/>
    </row>
    <row r="20" spans="1:7" s="125" customFormat="1">
      <c r="A20" s="345"/>
      <c r="B20" s="265"/>
      <c r="C20" s="267" t="s">
        <v>288</v>
      </c>
      <c r="D20" s="427"/>
      <c r="E20" s="272"/>
      <c r="F20" s="273"/>
      <c r="G20" s="438"/>
    </row>
    <row r="21" spans="1:7" s="125" customFormat="1" ht="25.9" customHeight="1">
      <c r="A21" s="345"/>
      <c r="B21" s="265"/>
      <c r="C21" s="459" t="s">
        <v>321</v>
      </c>
      <c r="D21" s="459"/>
      <c r="E21" s="459"/>
      <c r="F21" s="459"/>
      <c r="G21" s="438"/>
    </row>
    <row r="22" spans="1:7" s="125" customFormat="1">
      <c r="A22" s="345"/>
      <c r="B22" s="265"/>
      <c r="C22" s="267"/>
      <c r="D22" s="427"/>
      <c r="E22" s="272"/>
      <c r="F22" s="273"/>
      <c r="G22" s="438"/>
    </row>
    <row r="23" spans="1:7" s="125" customFormat="1">
      <c r="A23" s="345"/>
      <c r="B23" s="265"/>
      <c r="C23" s="458" t="s">
        <v>289</v>
      </c>
      <c r="D23" s="458"/>
      <c r="E23" s="458"/>
      <c r="F23" s="458"/>
      <c r="G23" s="438"/>
    </row>
    <row r="24" spans="1:7" s="125" customFormat="1">
      <c r="A24" s="345"/>
      <c r="B24" s="265"/>
      <c r="C24" s="459" t="s">
        <v>290</v>
      </c>
      <c r="D24" s="459"/>
      <c r="E24" s="459"/>
      <c r="F24" s="459"/>
      <c r="G24" s="438"/>
    </row>
    <row r="25" spans="1:7" s="125" customFormat="1" ht="97.15" customHeight="1">
      <c r="A25" s="345"/>
      <c r="B25" s="265"/>
      <c r="C25" s="459" t="s">
        <v>291</v>
      </c>
      <c r="D25" s="458"/>
      <c r="E25" s="458"/>
      <c r="F25" s="458"/>
      <c r="G25" s="438"/>
    </row>
    <row r="26" spans="1:7" s="125" customFormat="1">
      <c r="A26" s="345"/>
      <c r="B26" s="265"/>
      <c r="C26" s="344"/>
      <c r="D26" s="428"/>
      <c r="E26" s="344"/>
      <c r="F26" s="274"/>
      <c r="G26" s="438"/>
    </row>
    <row r="27" spans="1:7" s="125" customFormat="1" ht="25.5" customHeight="1">
      <c r="A27" s="345"/>
      <c r="B27" s="265"/>
      <c r="C27" s="458" t="s">
        <v>805</v>
      </c>
      <c r="D27" s="458"/>
      <c r="E27" s="458"/>
      <c r="F27" s="274"/>
      <c r="G27" s="438"/>
    </row>
    <row r="28" spans="1:7" s="125" customFormat="1">
      <c r="A28" s="345"/>
      <c r="B28" s="265"/>
      <c r="C28" s="267"/>
      <c r="D28" s="427"/>
      <c r="E28" s="272"/>
      <c r="F28" s="273"/>
      <c r="G28" s="438"/>
    </row>
    <row r="29" spans="1:7" s="125" customFormat="1">
      <c r="A29" s="345"/>
      <c r="B29" s="265"/>
      <c r="C29" s="267"/>
      <c r="D29" s="427"/>
      <c r="E29" s="272"/>
      <c r="F29" s="273"/>
      <c r="G29" s="438"/>
    </row>
    <row r="30" spans="1:7" s="125" customFormat="1">
      <c r="A30" s="345"/>
      <c r="B30" s="265"/>
      <c r="C30" s="275" t="s">
        <v>292</v>
      </c>
      <c r="D30" s="431"/>
      <c r="E30" s="272"/>
      <c r="F30" s="273"/>
      <c r="G30" s="438"/>
    </row>
    <row r="31" spans="1:7" s="125" customFormat="1">
      <c r="A31" s="345"/>
      <c r="B31" s="265"/>
      <c r="C31" s="267"/>
      <c r="D31" s="427"/>
      <c r="E31" s="272"/>
      <c r="F31" s="273"/>
      <c r="G31" s="438"/>
    </row>
    <row r="32" spans="1:7">
      <c r="A32" s="276"/>
      <c r="B32" s="265"/>
      <c r="C32" s="275" t="s">
        <v>293</v>
      </c>
      <c r="D32" s="431"/>
      <c r="E32" s="277"/>
      <c r="F32" s="272"/>
    </row>
    <row r="33" spans="1:6">
      <c r="A33" s="265"/>
      <c r="B33" s="265"/>
      <c r="C33" s="250"/>
      <c r="D33" s="432"/>
      <c r="E33" s="277"/>
      <c r="F33" s="272"/>
    </row>
    <row r="34" spans="1:6">
      <c r="A34" s="265"/>
      <c r="C34" s="250" t="s">
        <v>294</v>
      </c>
      <c r="D34" s="429">
        <f>D54</f>
        <v>0</v>
      </c>
      <c r="E34" s="277"/>
      <c r="F34" s="272"/>
    </row>
    <row r="35" spans="1:6">
      <c r="C35" s="250" t="s">
        <v>295</v>
      </c>
      <c r="D35" s="429">
        <f>D61</f>
        <v>0</v>
      </c>
      <c r="E35" s="277"/>
      <c r="F35" s="272"/>
    </row>
    <row r="36" spans="1:6">
      <c r="C36" s="250" t="s">
        <v>829</v>
      </c>
      <c r="D36" s="433"/>
      <c r="E36" s="277"/>
      <c r="F36" s="272"/>
    </row>
    <row r="37" spans="1:6">
      <c r="C37" s="250" t="s">
        <v>296</v>
      </c>
      <c r="D37" s="433"/>
      <c r="E37" s="277" t="s">
        <v>831</v>
      </c>
      <c r="F37" s="272"/>
    </row>
    <row r="38" spans="1:6">
      <c r="C38" s="250" t="s">
        <v>297</v>
      </c>
      <c r="D38" s="433"/>
      <c r="E38" s="277" t="s">
        <v>830</v>
      </c>
    </row>
    <row r="39" spans="1:6" ht="51">
      <c r="C39" s="250" t="s">
        <v>777</v>
      </c>
      <c r="D39" s="257">
        <f>(D34+D35+D36+D37+D38)*0.1</f>
        <v>0</v>
      </c>
    </row>
    <row r="40" spans="1:6">
      <c r="C40" s="250" t="s">
        <v>298</v>
      </c>
      <c r="D40" s="429">
        <f>SUM(D34:D39)</f>
        <v>0</v>
      </c>
    </row>
    <row r="41" spans="1:6">
      <c r="C41" s="250" t="s">
        <v>299</v>
      </c>
      <c r="D41" s="429">
        <f>D40*0.22</f>
        <v>0</v>
      </c>
    </row>
    <row r="42" spans="1:6" ht="15.75" thickBot="1">
      <c r="C42" s="278" t="s">
        <v>300</v>
      </c>
      <c r="D42" s="430">
        <f>SUM(D40:D41)</f>
        <v>0</v>
      </c>
    </row>
    <row r="43" spans="1:6" ht="13.5" thickTop="1">
      <c r="D43" s="434"/>
    </row>
    <row r="44" spans="1:6">
      <c r="D44" s="434"/>
    </row>
    <row r="45" spans="1:6">
      <c r="C45" s="275" t="s">
        <v>301</v>
      </c>
      <c r="D45" s="435"/>
    </row>
    <row r="46" spans="1:6">
      <c r="D46" s="434"/>
    </row>
    <row r="47" spans="1:6">
      <c r="C47" s="250" t="s">
        <v>317</v>
      </c>
      <c r="D47" s="429">
        <f>'I.Pripravljalna +rusitvena dela'!F77</f>
        <v>0</v>
      </c>
    </row>
    <row r="48" spans="1:6">
      <c r="C48" s="250" t="s">
        <v>350</v>
      </c>
      <c r="D48" s="429">
        <f>'II.Zemeljska dela'!F88</f>
        <v>0</v>
      </c>
    </row>
    <row r="49" spans="3:5">
      <c r="C49" s="250" t="s">
        <v>318</v>
      </c>
      <c r="D49" s="429">
        <f>'III.AB dela'!F65</f>
        <v>0</v>
      </c>
    </row>
    <row r="50" spans="3:5">
      <c r="C50" s="250" t="s">
        <v>319</v>
      </c>
      <c r="D50" s="429">
        <f>'IV.Tesarska dela'!F43</f>
        <v>0</v>
      </c>
    </row>
    <row r="51" spans="3:5">
      <c r="C51" s="250" t="s">
        <v>320</v>
      </c>
      <c r="D51" s="429">
        <f>'V.Zidarska  dela'!F58</f>
        <v>0</v>
      </c>
    </row>
    <row r="52" spans="3:5">
      <c r="C52" s="250" t="s">
        <v>448</v>
      </c>
      <c r="D52" s="429">
        <f>'VI. oporni zid sanacija'!F80</f>
        <v>0</v>
      </c>
    </row>
    <row r="53" spans="3:5">
      <c r="C53" s="250"/>
      <c r="D53" s="429"/>
    </row>
    <row r="54" spans="3:5" ht="13.5" thickBot="1">
      <c r="C54" s="278" t="s">
        <v>294</v>
      </c>
      <c r="D54" s="436">
        <f>D47+D48+D49+D50+D51+D52</f>
        <v>0</v>
      </c>
      <c r="E54" s="326"/>
    </row>
    <row r="55" spans="3:5" ht="13.5" thickTop="1">
      <c r="C55" s="250"/>
      <c r="D55" s="429"/>
    </row>
    <row r="56" spans="3:5">
      <c r="C56" s="250" t="s">
        <v>444</v>
      </c>
      <c r="D56" s="429">
        <f>'I.Ključavničarska dela'!F25</f>
        <v>0</v>
      </c>
    </row>
    <row r="57" spans="3:5">
      <c r="C57" s="250" t="s">
        <v>445</v>
      </c>
      <c r="D57" s="429">
        <f>'II. Urbana oprema'!F11</f>
        <v>0</v>
      </c>
    </row>
    <row r="58" spans="3:5">
      <c r="C58" s="250" t="s">
        <v>447</v>
      </c>
      <c r="D58" s="429">
        <f>'III. Sadilni material'!F78</f>
        <v>0</v>
      </c>
    </row>
    <row r="59" spans="3:5">
      <c r="C59" s="250" t="s">
        <v>544</v>
      </c>
      <c r="D59" s="429">
        <f>'tehnologija fontane'!F137</f>
        <v>0</v>
      </c>
    </row>
    <row r="60" spans="3:5">
      <c r="C60" s="158"/>
      <c r="D60" s="429"/>
    </row>
    <row r="61" spans="3:5" ht="13.5" thickBot="1">
      <c r="C61" s="278" t="s">
        <v>295</v>
      </c>
      <c r="D61" s="436">
        <f>SUM(D56:D60)</f>
        <v>0</v>
      </c>
    </row>
    <row r="62" spans="3:5" ht="13.5" thickTop="1">
      <c r="D62" s="434"/>
    </row>
  </sheetData>
  <mergeCells count="10">
    <mergeCell ref="C2:F2"/>
    <mergeCell ref="C10:F10"/>
    <mergeCell ref="C11:F11"/>
    <mergeCell ref="C12:F12"/>
    <mergeCell ref="C15:F15"/>
    <mergeCell ref="C27:E27"/>
    <mergeCell ref="C23:F23"/>
    <mergeCell ref="C24:F24"/>
    <mergeCell ref="C25:F25"/>
    <mergeCell ref="C21:F21"/>
  </mergeCells>
  <phoneticPr fontId="0" type="noConversion"/>
  <printOptions horizontalCentered="1"/>
  <pageMargins left="0.98425196850393704" right="0.39370078740157483" top="0.98425196850393704" bottom="0.78740157480314965" header="0.51181102362204722" footer="0.51181102362204722"/>
  <pageSetup paperSize="9" fitToWidth="0" orientation="portrait" r:id="rId1"/>
  <headerFooter alignWithMargins="0">
    <oddHeader>&amp;L&amp;8&amp;F&amp;R&amp;8&amp;Pod &amp;N</oddHeader>
    <oddFooter>&amp;C&amp;8&amp;A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B30" sqref="B30"/>
    </sheetView>
  </sheetViews>
  <sheetFormatPr defaultRowHeight="12.75"/>
  <cols>
    <col min="1" max="1" width="7.28515625" customWidth="1" collapsed="1"/>
    <col min="2" max="2" width="51.5703125" customWidth="1" collapsed="1"/>
    <col min="3" max="3" width="6.140625" customWidth="1" collapsed="1"/>
    <col min="4" max="4" width="8.28515625" customWidth="1" collapsed="1"/>
    <col min="6" max="6" width="12.85546875" customWidth="1" collapsed="1"/>
  </cols>
  <sheetData>
    <row r="1" spans="1:6">
      <c r="A1" s="93" t="s">
        <v>168</v>
      </c>
      <c r="B1" s="12" t="s">
        <v>141</v>
      </c>
      <c r="C1" s="13"/>
      <c r="D1" s="13"/>
      <c r="E1" s="13"/>
      <c r="F1" s="30"/>
    </row>
    <row r="2" spans="1:6" ht="4.5" customHeight="1">
      <c r="A2" s="78"/>
      <c r="B2" s="78"/>
      <c r="C2" s="79"/>
      <c r="D2" s="79"/>
      <c r="E2" s="79"/>
      <c r="F2" s="79"/>
    </row>
    <row r="3" spans="1:6" ht="25.5">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77.25" customHeight="1">
      <c r="A5" s="18"/>
      <c r="B5" s="96" t="s">
        <v>96</v>
      </c>
      <c r="C5" s="23"/>
      <c r="D5" s="24"/>
      <c r="E5" s="25"/>
      <c r="F5" s="25"/>
    </row>
    <row r="6" spans="1:6" s="10" customFormat="1">
      <c r="A6" s="18"/>
      <c r="B6" s="4"/>
      <c r="C6" s="23"/>
      <c r="D6" s="24"/>
      <c r="E6" s="25"/>
      <c r="F6" s="25"/>
    </row>
    <row r="7" spans="1:6" s="10" customFormat="1" ht="63.75">
      <c r="A7" s="18" t="s">
        <v>179</v>
      </c>
      <c r="B7" s="22" t="s">
        <v>276</v>
      </c>
      <c r="C7" s="23"/>
      <c r="D7" s="24"/>
      <c r="E7" s="25"/>
      <c r="F7" s="25"/>
    </row>
    <row r="8" spans="1:6" s="10" customFormat="1">
      <c r="A8" s="18"/>
      <c r="B8" s="22"/>
      <c r="C8" s="23"/>
      <c r="D8" s="24"/>
      <c r="E8" s="25"/>
      <c r="F8" s="25"/>
    </row>
    <row r="9" spans="1:6" s="10" customFormat="1" ht="38.25">
      <c r="A9" s="18"/>
      <c r="B9" s="22" t="s">
        <v>277</v>
      </c>
      <c r="C9" s="23" t="s">
        <v>182</v>
      </c>
      <c r="D9" s="24">
        <v>7</v>
      </c>
      <c r="E9" s="25">
        <v>428</v>
      </c>
      <c r="F9" s="25">
        <f>D9*E9</f>
        <v>2996</v>
      </c>
    </row>
    <row r="10" spans="1:6" s="10" customFormat="1">
      <c r="A10" s="18"/>
      <c r="B10" s="22"/>
      <c r="C10" s="23"/>
      <c r="D10" s="24"/>
      <c r="E10" s="25"/>
      <c r="F10" s="25"/>
    </row>
    <row r="11" spans="1:6" s="10" customFormat="1" ht="38.25">
      <c r="A11" s="18"/>
      <c r="B11" s="22" t="s">
        <v>278</v>
      </c>
      <c r="C11" s="23" t="s">
        <v>182</v>
      </c>
      <c r="D11" s="24">
        <v>3</v>
      </c>
      <c r="E11" s="25">
        <v>420</v>
      </c>
      <c r="F11" s="25">
        <f t="shared" ref="F11:F25" si="0">D11*E11</f>
        <v>1260</v>
      </c>
    </row>
    <row r="12" spans="1:6" s="10" customFormat="1">
      <c r="A12" s="18"/>
      <c r="B12" s="22"/>
      <c r="C12" s="23"/>
      <c r="D12" s="24"/>
      <c r="E12" s="25"/>
      <c r="F12" s="25"/>
    </row>
    <row r="13" spans="1:6" s="10" customFormat="1" ht="25.5">
      <c r="A13" s="18"/>
      <c r="B13" s="22" t="s">
        <v>279</v>
      </c>
      <c r="C13" s="23" t="s">
        <v>182</v>
      </c>
      <c r="D13" s="24">
        <v>2</v>
      </c>
      <c r="E13" s="25">
        <v>420</v>
      </c>
      <c r="F13" s="25">
        <f t="shared" si="0"/>
        <v>840</v>
      </c>
    </row>
    <row r="14" spans="1:6" s="10" customFormat="1">
      <c r="A14" s="18"/>
      <c r="B14" s="22"/>
      <c r="C14" s="23"/>
      <c r="D14" s="24"/>
      <c r="E14" s="25"/>
      <c r="F14" s="25"/>
    </row>
    <row r="15" spans="1:6" s="10" customFormat="1" ht="25.5">
      <c r="A15" s="18"/>
      <c r="B15" s="22" t="s">
        <v>12</v>
      </c>
      <c r="C15" s="23" t="s">
        <v>182</v>
      </c>
      <c r="D15" s="24">
        <v>1</v>
      </c>
      <c r="E15" s="25">
        <v>420</v>
      </c>
      <c r="F15" s="25">
        <f t="shared" si="0"/>
        <v>420</v>
      </c>
    </row>
    <row r="16" spans="1:6" s="10" customFormat="1" ht="13.5" customHeight="1">
      <c r="A16" s="18"/>
      <c r="B16" s="22"/>
      <c r="C16" s="23"/>
      <c r="D16" s="24"/>
      <c r="E16" s="25"/>
      <c r="F16" s="25"/>
    </row>
    <row r="17" spans="1:6" s="10" customFormat="1" ht="51">
      <c r="A17" s="18" t="s">
        <v>181</v>
      </c>
      <c r="B17" s="22" t="s">
        <v>13</v>
      </c>
      <c r="C17" s="23" t="s">
        <v>104</v>
      </c>
      <c r="D17" s="24">
        <v>12.7</v>
      </c>
      <c r="E17" s="25">
        <v>170</v>
      </c>
      <c r="F17" s="25">
        <f t="shared" si="0"/>
        <v>2159</v>
      </c>
    </row>
    <row r="18" spans="1:6" s="10" customFormat="1" ht="12.75" customHeight="1">
      <c r="A18" s="18"/>
      <c r="B18" s="22"/>
      <c r="C18" s="23"/>
      <c r="D18" s="24"/>
      <c r="E18" s="25"/>
      <c r="F18" s="25"/>
    </row>
    <row r="19" spans="1:6" s="10" customFormat="1" ht="25.5">
      <c r="A19" s="18" t="s">
        <v>109</v>
      </c>
      <c r="B19" s="22" t="s">
        <v>14</v>
      </c>
      <c r="C19" s="23" t="s">
        <v>182</v>
      </c>
      <c r="D19" s="24">
        <v>5</v>
      </c>
      <c r="E19" s="25">
        <v>221</v>
      </c>
      <c r="F19" s="25">
        <f t="shared" si="0"/>
        <v>1105</v>
      </c>
    </row>
    <row r="20" spans="1:6" s="10" customFormat="1">
      <c r="A20" s="18"/>
      <c r="B20" s="22"/>
      <c r="C20" s="23"/>
      <c r="D20" s="24"/>
      <c r="E20" s="25"/>
      <c r="F20" s="25"/>
    </row>
    <row r="21" spans="1:6" s="10" customFormat="1" ht="51">
      <c r="A21" s="18" t="s">
        <v>110</v>
      </c>
      <c r="B21" s="22" t="s">
        <v>15</v>
      </c>
      <c r="C21" s="23"/>
      <c r="D21" s="24"/>
      <c r="E21" s="25"/>
      <c r="F21" s="25"/>
    </row>
    <row r="22" spans="1:6" s="10" customFormat="1">
      <c r="A22" s="18"/>
      <c r="B22" s="22"/>
      <c r="C22" s="23"/>
      <c r="D22" s="24"/>
      <c r="E22" s="25"/>
      <c r="F22" s="25"/>
    </row>
    <row r="23" spans="1:6" s="10" customFormat="1">
      <c r="A23" s="18"/>
      <c r="B23" s="22" t="s">
        <v>16</v>
      </c>
      <c r="C23" s="23" t="s">
        <v>182</v>
      </c>
      <c r="D23" s="24">
        <v>2</v>
      </c>
      <c r="E23" s="25">
        <v>75</v>
      </c>
      <c r="F23" s="25">
        <f t="shared" si="0"/>
        <v>150</v>
      </c>
    </row>
    <row r="24" spans="1:6" s="10" customFormat="1">
      <c r="A24" s="18"/>
      <c r="B24" s="22"/>
      <c r="C24" s="23"/>
      <c r="D24" s="24"/>
      <c r="E24" s="25"/>
      <c r="F24" s="25"/>
    </row>
    <row r="25" spans="1:6" s="10" customFormat="1">
      <c r="A25" s="18"/>
      <c r="B25" s="22" t="s">
        <v>17</v>
      </c>
      <c r="C25" s="23" t="s">
        <v>182</v>
      </c>
      <c r="D25" s="24">
        <v>3</v>
      </c>
      <c r="E25" s="25">
        <v>59</v>
      </c>
      <c r="F25" s="25">
        <f t="shared" si="0"/>
        <v>177</v>
      </c>
    </row>
    <row r="26" spans="1:6" ht="12.75" customHeight="1">
      <c r="A26" s="18"/>
      <c r="B26" s="26"/>
      <c r="C26" s="27"/>
      <c r="D26" s="28"/>
      <c r="E26" s="43"/>
      <c r="F26" s="43"/>
    </row>
    <row r="27" spans="1:6" ht="12.75" customHeight="1">
      <c r="A27" s="29"/>
      <c r="B27" s="4"/>
      <c r="C27" s="19"/>
      <c r="D27" s="20"/>
      <c r="E27" s="21"/>
      <c r="F27" s="21"/>
    </row>
    <row r="28" spans="1:6" ht="12.75" customHeight="1">
      <c r="A28" s="18"/>
      <c r="B28" s="5"/>
      <c r="C28" s="9" t="s">
        <v>162</v>
      </c>
      <c r="D28" s="20"/>
      <c r="E28" s="21"/>
      <c r="F28" s="38">
        <f>SUM(F4:F26)</f>
        <v>9107</v>
      </c>
    </row>
    <row r="39"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B30" sqref="B30"/>
    </sheetView>
  </sheetViews>
  <sheetFormatPr defaultRowHeight="12.75"/>
  <cols>
    <col min="1" max="1" width="7.28515625" customWidth="1" collapsed="1"/>
    <col min="2" max="2" width="51.5703125" customWidth="1" collapsed="1"/>
    <col min="3" max="3" width="6.140625" customWidth="1" collapsed="1"/>
    <col min="4" max="4" width="8.28515625" customWidth="1" collapsed="1"/>
    <col min="6" max="6" width="12.85546875" customWidth="1" collapsed="1"/>
  </cols>
  <sheetData>
    <row r="1" spans="1:6">
      <c r="A1" s="93" t="s">
        <v>170</v>
      </c>
      <c r="B1" s="12" t="s">
        <v>18</v>
      </c>
      <c r="C1" s="13"/>
      <c r="D1" s="13"/>
      <c r="E1" s="13"/>
      <c r="F1" s="30"/>
    </row>
    <row r="2" spans="1:6" ht="4.5" customHeight="1">
      <c r="A2" s="78"/>
      <c r="B2" s="78"/>
      <c r="C2" s="79"/>
      <c r="D2" s="79"/>
      <c r="E2" s="79"/>
      <c r="F2" s="79"/>
    </row>
    <row r="3" spans="1:6" ht="25.5">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38.25">
      <c r="A5" s="18"/>
      <c r="B5" s="96" t="s">
        <v>19</v>
      </c>
      <c r="C5" s="23"/>
      <c r="D5" s="24"/>
      <c r="E5" s="25"/>
      <c r="F5" s="25"/>
    </row>
    <row r="6" spans="1:6" s="10" customFormat="1">
      <c r="A6" s="18"/>
      <c r="B6" s="4"/>
      <c r="C6" s="23"/>
      <c r="D6" s="24"/>
      <c r="E6" s="25"/>
      <c r="F6" s="25"/>
    </row>
    <row r="7" spans="1:6" s="10" customFormat="1" ht="89.25">
      <c r="A7" s="18" t="s">
        <v>179</v>
      </c>
      <c r="B7" s="22" t="s">
        <v>20</v>
      </c>
      <c r="C7" s="23" t="s">
        <v>104</v>
      </c>
      <c r="D7" s="24">
        <v>111.2</v>
      </c>
      <c r="E7" s="25">
        <v>35.28</v>
      </c>
      <c r="F7" s="25">
        <f>D7*E7</f>
        <v>3923.1360000000004</v>
      </c>
    </row>
    <row r="8" spans="1:6" s="10" customFormat="1">
      <c r="A8" s="18"/>
      <c r="B8" s="22"/>
      <c r="C8" s="23"/>
      <c r="D8" s="24"/>
      <c r="E8" s="25"/>
      <c r="F8" s="25"/>
    </row>
    <row r="9" spans="1:6" s="10" customFormat="1" ht="89.25">
      <c r="A9" s="18" t="s">
        <v>181</v>
      </c>
      <c r="B9" s="22" t="s">
        <v>21</v>
      </c>
      <c r="C9" s="23" t="s">
        <v>104</v>
      </c>
      <c r="D9" s="24">
        <v>104.3</v>
      </c>
      <c r="E9" s="25">
        <v>49.26</v>
      </c>
      <c r="F9" s="25">
        <f t="shared" ref="F9:F21" si="0">D9*E9</f>
        <v>5137.8179999999993</v>
      </c>
    </row>
    <row r="10" spans="1:6" s="10" customFormat="1">
      <c r="A10" s="18"/>
      <c r="B10" s="22"/>
      <c r="C10" s="23"/>
      <c r="D10" s="24"/>
      <c r="E10" s="25"/>
      <c r="F10" s="25"/>
    </row>
    <row r="11" spans="1:6" s="10" customFormat="1" ht="76.5">
      <c r="A11" s="18" t="s">
        <v>109</v>
      </c>
      <c r="B11" s="22" t="s">
        <v>22</v>
      </c>
      <c r="C11" s="23" t="s">
        <v>104</v>
      </c>
      <c r="D11" s="24">
        <v>10.9</v>
      </c>
      <c r="E11" s="25">
        <v>63.57</v>
      </c>
      <c r="F11" s="25">
        <f t="shared" si="0"/>
        <v>692.91300000000001</v>
      </c>
    </row>
    <row r="12" spans="1:6" s="10" customFormat="1">
      <c r="A12" s="18"/>
      <c r="B12" s="22"/>
      <c r="C12" s="23"/>
      <c r="D12" s="24"/>
      <c r="E12" s="25"/>
      <c r="F12" s="25"/>
    </row>
    <row r="13" spans="1:6" s="10" customFormat="1" ht="25.5">
      <c r="A13" s="18" t="s">
        <v>23</v>
      </c>
      <c r="B13" s="22" t="s">
        <v>24</v>
      </c>
      <c r="C13" s="23" t="s">
        <v>104</v>
      </c>
      <c r="D13" s="24">
        <v>12.2</v>
      </c>
      <c r="E13" s="25">
        <v>64.19</v>
      </c>
      <c r="F13" s="25">
        <f t="shared" si="0"/>
        <v>783.11799999999994</v>
      </c>
    </row>
    <row r="14" spans="1:6" s="10" customFormat="1" ht="12.75" customHeight="1">
      <c r="A14" s="18"/>
      <c r="B14" s="22"/>
      <c r="C14" s="23"/>
      <c r="D14" s="24"/>
      <c r="E14" s="25"/>
      <c r="F14" s="25"/>
    </row>
    <row r="15" spans="1:6" s="10" customFormat="1" ht="76.5" customHeight="1">
      <c r="A15" s="18" t="s">
        <v>110</v>
      </c>
      <c r="B15" s="22" t="s">
        <v>25</v>
      </c>
      <c r="C15" s="23" t="s">
        <v>182</v>
      </c>
      <c r="D15" s="24">
        <v>111.6</v>
      </c>
      <c r="E15" s="25">
        <v>50.66</v>
      </c>
      <c r="F15" s="25">
        <f t="shared" si="0"/>
        <v>5653.655999999999</v>
      </c>
    </row>
    <row r="16" spans="1:6" s="10" customFormat="1">
      <c r="A16" s="18"/>
      <c r="B16" s="22"/>
      <c r="C16" s="23"/>
      <c r="D16" s="24"/>
      <c r="E16" s="25"/>
      <c r="F16" s="25"/>
    </row>
    <row r="17" spans="1:6" s="10" customFormat="1" ht="89.25">
      <c r="A17" s="18" t="s">
        <v>111</v>
      </c>
      <c r="B17" s="22" t="s">
        <v>26</v>
      </c>
      <c r="C17" s="23" t="s">
        <v>104</v>
      </c>
      <c r="D17" s="24">
        <v>115.6</v>
      </c>
      <c r="E17" s="25">
        <v>36.799999999999997</v>
      </c>
      <c r="F17" s="25">
        <f t="shared" si="0"/>
        <v>4254.079999999999</v>
      </c>
    </row>
    <row r="18" spans="1:6" s="10" customFormat="1">
      <c r="A18" s="18"/>
      <c r="B18" s="22"/>
      <c r="C18" s="23"/>
      <c r="D18" s="24"/>
      <c r="E18" s="25"/>
      <c r="F18" s="25"/>
    </row>
    <row r="19" spans="1:6" s="10" customFormat="1" ht="25.5">
      <c r="A19" s="18" t="s">
        <v>112</v>
      </c>
      <c r="B19" s="22" t="s">
        <v>27</v>
      </c>
      <c r="C19" s="23" t="s">
        <v>182</v>
      </c>
      <c r="D19" s="24">
        <v>11</v>
      </c>
      <c r="E19" s="25">
        <v>220</v>
      </c>
      <c r="F19" s="25">
        <f t="shared" si="0"/>
        <v>2420</v>
      </c>
    </row>
    <row r="20" spans="1:6" s="10" customFormat="1">
      <c r="A20" s="18"/>
      <c r="B20" s="22"/>
      <c r="C20" s="23"/>
      <c r="D20" s="24"/>
      <c r="E20" s="25"/>
      <c r="F20" s="25"/>
    </row>
    <row r="21" spans="1:6" s="10" customFormat="1" ht="38.25">
      <c r="A21" s="18" t="s">
        <v>113</v>
      </c>
      <c r="B21" s="22" t="s">
        <v>28</v>
      </c>
      <c r="C21" s="23" t="s">
        <v>107</v>
      </c>
      <c r="D21" s="24">
        <v>3.8</v>
      </c>
      <c r="E21" s="25">
        <v>22.15</v>
      </c>
      <c r="F21" s="25">
        <f t="shared" si="0"/>
        <v>84.169999999999987</v>
      </c>
    </row>
    <row r="22" spans="1:6" ht="12.75" customHeight="1">
      <c r="A22" s="18"/>
      <c r="B22" s="26"/>
      <c r="C22" s="27"/>
      <c r="D22" s="28"/>
      <c r="E22" s="43"/>
      <c r="F22" s="43"/>
    </row>
    <row r="23" spans="1:6" ht="12.75" customHeight="1">
      <c r="A23" s="29"/>
      <c r="B23" s="4"/>
      <c r="C23" s="19"/>
      <c r="D23" s="20"/>
      <c r="E23" s="21"/>
      <c r="F23" s="21"/>
    </row>
    <row r="24" spans="1:6" ht="12.75" customHeight="1">
      <c r="A24" s="18"/>
      <c r="B24" s="5"/>
      <c r="C24" s="9" t="s">
        <v>162</v>
      </c>
      <c r="D24" s="20"/>
      <c r="E24" s="21"/>
      <c r="F24" s="38">
        <f>SUM(F4:F22)</f>
        <v>22948.890999999996</v>
      </c>
    </row>
    <row r="35"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B30" sqref="B30"/>
    </sheetView>
  </sheetViews>
  <sheetFormatPr defaultRowHeight="12.75"/>
  <cols>
    <col min="1" max="1" width="7.28515625" customWidth="1" collapsed="1"/>
    <col min="2" max="2" width="51.5703125" customWidth="1" collapsed="1"/>
    <col min="3" max="3" width="6.140625" customWidth="1" collapsed="1"/>
    <col min="4" max="4" width="8.28515625" customWidth="1" collapsed="1"/>
    <col min="6" max="6" width="12.85546875" customWidth="1" collapsed="1"/>
  </cols>
  <sheetData>
    <row r="1" spans="1:6">
      <c r="A1" s="93" t="s">
        <v>172</v>
      </c>
      <c r="B1" s="12" t="s">
        <v>88</v>
      </c>
      <c r="C1" s="13"/>
      <c r="D1" s="13"/>
      <c r="E1" s="13"/>
      <c r="F1" s="30"/>
    </row>
    <row r="2" spans="1:6" ht="4.5" customHeight="1">
      <c r="A2" s="78"/>
      <c r="B2" s="78"/>
      <c r="C2" s="79"/>
      <c r="D2" s="79"/>
      <c r="E2" s="79"/>
      <c r="F2" s="79"/>
    </row>
    <row r="3" spans="1:6" ht="25.5">
      <c r="A3" s="92" t="s">
        <v>173</v>
      </c>
      <c r="B3" s="14" t="s">
        <v>174</v>
      </c>
      <c r="C3" s="15" t="s">
        <v>175</v>
      </c>
      <c r="D3" s="16" t="s">
        <v>176</v>
      </c>
      <c r="E3" s="17" t="s">
        <v>177</v>
      </c>
      <c r="F3" s="105" t="s">
        <v>178</v>
      </c>
    </row>
    <row r="4" spans="1:6" s="1" customFormat="1" ht="12.75" customHeight="1">
      <c r="A4" s="8"/>
      <c r="B4" s="5"/>
      <c r="C4" s="45"/>
      <c r="D4" s="37"/>
      <c r="E4" s="38"/>
      <c r="F4" s="38"/>
    </row>
    <row r="5" spans="1:6" s="10" customFormat="1" ht="63.75">
      <c r="A5" s="18" t="s">
        <v>179</v>
      </c>
      <c r="B5" s="22" t="s">
        <v>29</v>
      </c>
      <c r="C5" s="23" t="s">
        <v>104</v>
      </c>
      <c r="D5" s="24">
        <v>115.6</v>
      </c>
      <c r="E5" s="25">
        <v>35</v>
      </c>
      <c r="F5" s="25">
        <f>D5*E5</f>
        <v>4046</v>
      </c>
    </row>
    <row r="6" spans="1:6" s="10" customFormat="1">
      <c r="A6" s="18"/>
      <c r="B6" s="22"/>
      <c r="C6" s="23"/>
      <c r="D6" s="24"/>
      <c r="E6" s="25"/>
      <c r="F6" s="25"/>
    </row>
    <row r="7" spans="1:6" s="10" customFormat="1" ht="63.75">
      <c r="A7" s="18" t="s">
        <v>181</v>
      </c>
      <c r="B7" s="22" t="s">
        <v>186</v>
      </c>
      <c r="C7" s="23" t="s">
        <v>104</v>
      </c>
      <c r="D7" s="24">
        <v>167.5</v>
      </c>
      <c r="E7" s="25">
        <v>35</v>
      </c>
      <c r="F7" s="25">
        <f t="shared" ref="F7:F15" si="0">D7*E7</f>
        <v>5862.5</v>
      </c>
    </row>
    <row r="8" spans="1:6" s="10" customFormat="1" ht="12.75" customHeight="1">
      <c r="A8" s="18"/>
      <c r="B8" s="22"/>
      <c r="C8" s="23"/>
      <c r="D8" s="24"/>
      <c r="E8" s="25"/>
      <c r="F8" s="25"/>
    </row>
    <row r="9" spans="1:6" s="10" customFormat="1" ht="14.25" customHeight="1">
      <c r="A9" s="18" t="s">
        <v>109</v>
      </c>
      <c r="B9" s="22" t="s">
        <v>187</v>
      </c>
      <c r="C9" s="23" t="s">
        <v>107</v>
      </c>
      <c r="D9" s="24">
        <v>68.2</v>
      </c>
      <c r="E9" s="25">
        <v>18</v>
      </c>
      <c r="F9" s="25">
        <f t="shared" si="0"/>
        <v>1227.6000000000001</v>
      </c>
    </row>
    <row r="10" spans="1:6" s="10" customFormat="1" ht="13.5" customHeight="1">
      <c r="A10" s="18"/>
      <c r="B10" s="22"/>
      <c r="C10" s="23"/>
      <c r="D10" s="24"/>
      <c r="E10" s="25"/>
      <c r="F10" s="25"/>
    </row>
    <row r="11" spans="1:6" s="10" customFormat="1" ht="25.5">
      <c r="A11" s="18" t="s">
        <v>110</v>
      </c>
      <c r="B11" s="22" t="s">
        <v>51</v>
      </c>
      <c r="C11" s="23" t="s">
        <v>107</v>
      </c>
      <c r="D11" s="24">
        <v>259</v>
      </c>
      <c r="E11" s="25">
        <v>11</v>
      </c>
      <c r="F11" s="25">
        <f t="shared" si="0"/>
        <v>2849</v>
      </c>
    </row>
    <row r="12" spans="1:6" s="10" customFormat="1" ht="12.75" customHeight="1">
      <c r="A12" s="18"/>
      <c r="B12" s="22"/>
      <c r="C12" s="23"/>
      <c r="D12" s="24"/>
      <c r="E12" s="25"/>
      <c r="F12" s="25"/>
    </row>
    <row r="13" spans="1:6" s="10" customFormat="1" ht="38.25">
      <c r="A13" s="18" t="s">
        <v>111</v>
      </c>
      <c r="B13" s="22" t="s">
        <v>52</v>
      </c>
      <c r="C13" s="23" t="s">
        <v>104</v>
      </c>
      <c r="D13" s="24">
        <v>82.1</v>
      </c>
      <c r="E13" s="25">
        <v>35</v>
      </c>
      <c r="F13" s="25">
        <f t="shared" si="0"/>
        <v>2873.5</v>
      </c>
    </row>
    <row r="14" spans="1:6" s="10" customFormat="1" ht="12.75" customHeight="1">
      <c r="A14" s="18"/>
      <c r="B14" s="22"/>
      <c r="C14" s="23"/>
      <c r="D14" s="24"/>
      <c r="E14" s="25"/>
      <c r="F14" s="25"/>
    </row>
    <row r="15" spans="1:6" s="10" customFormat="1" ht="25.5">
      <c r="A15" s="18" t="s">
        <v>112</v>
      </c>
      <c r="B15" s="22" t="s">
        <v>53</v>
      </c>
      <c r="C15" s="23" t="s">
        <v>104</v>
      </c>
      <c r="D15" s="24">
        <v>10</v>
      </c>
      <c r="E15" s="25">
        <v>15</v>
      </c>
      <c r="F15" s="25">
        <f t="shared" si="0"/>
        <v>150</v>
      </c>
    </row>
    <row r="16" spans="1:6" ht="12.75" customHeight="1">
      <c r="A16" s="18"/>
      <c r="B16" s="26"/>
      <c r="C16" s="27"/>
      <c r="D16" s="28"/>
      <c r="E16" s="43"/>
      <c r="F16" s="43"/>
    </row>
    <row r="17" spans="1:6" ht="12.75" customHeight="1">
      <c r="A17" s="29"/>
      <c r="B17" s="4"/>
      <c r="C17" s="19"/>
      <c r="D17" s="20"/>
      <c r="E17" s="21"/>
      <c r="F17" s="21"/>
    </row>
    <row r="18" spans="1:6" ht="12.75" customHeight="1">
      <c r="A18" s="18"/>
      <c r="B18" s="5"/>
      <c r="C18" s="9" t="s">
        <v>162</v>
      </c>
      <c r="D18" s="20"/>
      <c r="E18" s="21"/>
      <c r="F18" s="38">
        <f>SUM(F4:F16)</f>
        <v>17008.599999999999</v>
      </c>
    </row>
    <row r="29" spans="1:6" ht="16.5" customHeight="1"/>
  </sheetData>
  <phoneticPr fontId="0" type="noConversion"/>
  <pageMargins left="0.98425196850393704" right="0.55118110236220474" top="0.74803149606299213" bottom="0.74803149606299213" header="0.31496062992125984" footer="0.31496062992125984"/>
  <pageSetup paperSize="9" orientation="portrait" verticalDpi="300" r:id="rId1"/>
  <headerFooter alignWithMargins="0">
    <oddHeader>&amp;C&amp;F; &amp;A</oddHeader>
    <oddFooter>&amp;C&amp;14&amp;Y&amp;P od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B30" sqref="B30"/>
    </sheetView>
  </sheetViews>
  <sheetFormatPr defaultColWidth="9.140625" defaultRowHeight="12.75"/>
  <cols>
    <col min="1" max="1" width="7.42578125" style="49" customWidth="1" collapsed="1"/>
    <col min="2" max="2" width="51.5703125" style="49" customWidth="1" collapsed="1"/>
    <col min="3" max="3" width="6.140625" style="49" customWidth="1" collapsed="1"/>
    <col min="4" max="5" width="9.140625" style="49" collapsed="1"/>
    <col min="6" max="6" width="13.28515625" style="49" customWidth="1" collapsed="1"/>
    <col min="7" max="16384" width="9.140625" style="49" collapsed="1"/>
  </cols>
  <sheetData>
    <row r="1" spans="1:6">
      <c r="A1" s="106" t="s">
        <v>89</v>
      </c>
      <c r="B1" s="12" t="s">
        <v>143</v>
      </c>
      <c r="C1" s="73"/>
      <c r="D1" s="74"/>
      <c r="E1" s="75"/>
      <c r="F1" s="76"/>
    </row>
    <row r="2" spans="1:6" ht="4.5" customHeight="1">
      <c r="A2" s="84"/>
      <c r="B2" s="78"/>
      <c r="C2" s="77"/>
      <c r="D2" s="77"/>
      <c r="E2" s="77"/>
      <c r="F2" s="77"/>
    </row>
    <row r="3" spans="1:6" ht="25.5">
      <c r="A3" s="52" t="s">
        <v>173</v>
      </c>
      <c r="B3" s="14" t="s">
        <v>174</v>
      </c>
      <c r="C3" s="53" t="s">
        <v>175</v>
      </c>
      <c r="D3" s="54" t="s">
        <v>176</v>
      </c>
      <c r="E3" s="55" t="s">
        <v>177</v>
      </c>
      <c r="F3" s="105" t="s">
        <v>178</v>
      </c>
    </row>
    <row r="4" spans="1:6" ht="12" customHeight="1">
      <c r="A4" s="56"/>
      <c r="B4" s="5"/>
      <c r="C4" s="57"/>
      <c r="D4" s="58"/>
      <c r="E4" s="59"/>
      <c r="F4" s="59"/>
    </row>
    <row r="5" spans="1:6" ht="154.5" customHeight="1">
      <c r="A5" s="56"/>
      <c r="B5" s="96" t="s">
        <v>54</v>
      </c>
      <c r="D5" s="58"/>
      <c r="E5" s="61"/>
      <c r="F5" s="59"/>
    </row>
    <row r="6" spans="1:6">
      <c r="A6" s="56"/>
      <c r="B6" s="60"/>
      <c r="C6" s="85"/>
      <c r="D6" s="58"/>
      <c r="E6" s="61"/>
      <c r="F6" s="59"/>
    </row>
    <row r="7" spans="1:6" ht="89.25">
      <c r="A7" s="56" t="s">
        <v>179</v>
      </c>
      <c r="B7" s="51" t="s">
        <v>55</v>
      </c>
      <c r="C7" s="50" t="s">
        <v>104</v>
      </c>
      <c r="D7" s="97">
        <v>158.80000000000001</v>
      </c>
      <c r="E7" s="98">
        <v>147</v>
      </c>
      <c r="F7" s="98">
        <f t="shared" ref="F7:F15" si="0">D7*E7</f>
        <v>23343.600000000002</v>
      </c>
    </row>
    <row r="8" spans="1:6">
      <c r="A8" s="56"/>
      <c r="B8" s="51"/>
      <c r="C8" s="85"/>
      <c r="D8" s="58"/>
      <c r="E8" s="61"/>
      <c r="F8" s="98"/>
    </row>
    <row r="9" spans="1:6" ht="76.5">
      <c r="A9" s="56" t="s">
        <v>181</v>
      </c>
      <c r="B9" s="51" t="s">
        <v>56</v>
      </c>
      <c r="C9" s="50" t="s">
        <v>104</v>
      </c>
      <c r="D9" s="97">
        <v>40.5</v>
      </c>
      <c r="E9" s="99">
        <v>239.66</v>
      </c>
      <c r="F9" s="98">
        <f t="shared" si="0"/>
        <v>9706.23</v>
      </c>
    </row>
    <row r="10" spans="1:6">
      <c r="A10" s="56"/>
      <c r="B10" s="51"/>
      <c r="C10" s="85"/>
      <c r="D10" s="58"/>
      <c r="E10" s="61"/>
      <c r="F10" s="98"/>
    </row>
    <row r="11" spans="1:6" ht="76.5">
      <c r="A11" s="56" t="s">
        <v>109</v>
      </c>
      <c r="B11" s="51" t="s">
        <v>57</v>
      </c>
      <c r="C11" s="50" t="s">
        <v>104</v>
      </c>
      <c r="D11" s="97">
        <v>16.100000000000001</v>
      </c>
      <c r="E11" s="99">
        <v>197.66</v>
      </c>
      <c r="F11" s="98">
        <f t="shared" si="0"/>
        <v>3182.326</v>
      </c>
    </row>
    <row r="12" spans="1:6">
      <c r="A12" s="56"/>
      <c r="B12" s="51"/>
      <c r="C12" s="50"/>
      <c r="D12" s="97"/>
      <c r="E12" s="99"/>
      <c r="F12" s="98"/>
    </row>
    <row r="13" spans="1:6" ht="76.5">
      <c r="A13" s="56" t="s">
        <v>110</v>
      </c>
      <c r="B13" s="51" t="s">
        <v>58</v>
      </c>
      <c r="C13" s="50" t="s">
        <v>104</v>
      </c>
      <c r="D13" s="97">
        <v>128.80000000000001</v>
      </c>
      <c r="E13" s="99">
        <v>147</v>
      </c>
      <c r="F13" s="98">
        <f t="shared" si="0"/>
        <v>18933.600000000002</v>
      </c>
    </row>
    <row r="14" spans="1:6">
      <c r="A14" s="56"/>
      <c r="B14" s="51"/>
      <c r="C14" s="50"/>
      <c r="D14" s="97"/>
      <c r="E14" s="99"/>
      <c r="F14" s="98"/>
    </row>
    <row r="15" spans="1:6" ht="25.5">
      <c r="A15" s="56" t="s">
        <v>111</v>
      </c>
      <c r="B15" s="51" t="s">
        <v>191</v>
      </c>
      <c r="C15" s="50" t="s">
        <v>182</v>
      </c>
      <c r="D15" s="97">
        <v>7</v>
      </c>
      <c r="E15" s="99">
        <v>150</v>
      </c>
      <c r="F15" s="98">
        <f t="shared" si="0"/>
        <v>1050</v>
      </c>
    </row>
    <row r="16" spans="1:6" ht="9.75" customHeight="1">
      <c r="A16" s="66"/>
      <c r="B16" s="7"/>
      <c r="C16" s="62"/>
      <c r="D16" s="63"/>
      <c r="E16" s="64"/>
      <c r="F16" s="64"/>
    </row>
    <row r="17" spans="1:6" ht="9.75" customHeight="1">
      <c r="A17" s="56"/>
      <c r="B17" s="6"/>
      <c r="C17" s="57"/>
      <c r="D17" s="58"/>
      <c r="E17" s="59"/>
    </row>
    <row r="18" spans="1:6">
      <c r="C18" s="9" t="s">
        <v>162</v>
      </c>
      <c r="F18" s="65">
        <f>SUM(F4:F15)</f>
        <v>56215.756000000008</v>
      </c>
    </row>
    <row r="24" spans="1:6">
      <c r="B24"/>
    </row>
    <row r="28" spans="1:6" ht="16.5" customHeight="1"/>
  </sheetData>
  <phoneticPr fontId="0" type="noConversion"/>
  <pageMargins left="0.98425196850393704" right="0.55118110236220474" top="0.74803149606299213" bottom="0.74803149606299213" header="0.31496062992125984" footer="0.31496062992125984"/>
  <pageSetup paperSize="9" orientation="portrait" r:id="rId1"/>
  <headerFooter alignWithMargins="0">
    <oddHeader>&amp;C&amp;F; &amp;A</oddHeader>
    <oddFooter>&amp;C&amp;14&amp;Y&amp;P od &amp;N</oddFooter>
  </headerFooter>
  <rowBreaks count="1" manualBreakCount="1">
    <brk id="13" max="65535"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B30" sqref="B30"/>
    </sheetView>
  </sheetViews>
  <sheetFormatPr defaultColWidth="9.140625" defaultRowHeight="12.75"/>
  <cols>
    <col min="1" max="1" width="5.5703125" style="49" customWidth="1" collapsed="1"/>
    <col min="2" max="2" width="52.7109375" style="49" customWidth="1" collapsed="1"/>
    <col min="3" max="3" width="6.140625" style="49" customWidth="1" collapsed="1"/>
    <col min="4" max="5" width="9.140625" style="49" collapsed="1"/>
    <col min="6" max="6" width="12.28515625" style="49" customWidth="1" collapsed="1"/>
    <col min="7" max="16384" width="9.140625" style="49" collapsed="1"/>
  </cols>
  <sheetData>
    <row r="1" spans="1:6">
      <c r="A1" s="106" t="s">
        <v>91</v>
      </c>
      <c r="B1" s="12" t="s">
        <v>90</v>
      </c>
      <c r="C1" s="73"/>
      <c r="D1" s="74"/>
      <c r="E1" s="75"/>
      <c r="F1" s="76"/>
    </row>
    <row r="2" spans="1:6" ht="4.5" customHeight="1">
      <c r="A2" s="84"/>
      <c r="B2" s="78"/>
      <c r="C2" s="77"/>
      <c r="D2" s="77"/>
      <c r="E2" s="77"/>
      <c r="F2" s="77"/>
    </row>
    <row r="3" spans="1:6" ht="25.5">
      <c r="A3" s="52" t="s">
        <v>173</v>
      </c>
      <c r="B3" s="14" t="s">
        <v>174</v>
      </c>
      <c r="C3" s="53" t="s">
        <v>175</v>
      </c>
      <c r="D3" s="54" t="s">
        <v>176</v>
      </c>
      <c r="E3" s="55" t="s">
        <v>177</v>
      </c>
      <c r="F3" s="105" t="s">
        <v>178</v>
      </c>
    </row>
    <row r="4" spans="1:6" ht="12" customHeight="1">
      <c r="A4" s="56"/>
      <c r="B4" s="5"/>
      <c r="C4" s="50"/>
      <c r="D4" s="58"/>
      <c r="E4" s="59"/>
      <c r="F4" s="59"/>
    </row>
    <row r="5" spans="1:6">
      <c r="A5" s="56" t="s">
        <v>179</v>
      </c>
      <c r="B5" s="51" t="s">
        <v>192</v>
      </c>
      <c r="C5" s="50" t="s">
        <v>104</v>
      </c>
      <c r="D5" s="97">
        <v>659</v>
      </c>
      <c r="E5" s="99">
        <v>3.7</v>
      </c>
      <c r="F5" s="98">
        <f>D5*E5</f>
        <v>2438.3000000000002</v>
      </c>
    </row>
    <row r="6" spans="1:6">
      <c r="A6" s="56"/>
      <c r="B6" s="60"/>
      <c r="C6" s="50"/>
      <c r="D6" s="97"/>
      <c r="E6" s="99"/>
      <c r="F6" s="98"/>
    </row>
    <row r="7" spans="1:6" ht="25.5">
      <c r="A7" s="56" t="s">
        <v>181</v>
      </c>
      <c r="B7" s="51" t="s">
        <v>193</v>
      </c>
      <c r="C7" s="50" t="s">
        <v>104</v>
      </c>
      <c r="D7" s="97">
        <v>659</v>
      </c>
      <c r="E7" s="99">
        <v>1.9</v>
      </c>
      <c r="F7" s="98">
        <f>D7*E7</f>
        <v>1252.0999999999999</v>
      </c>
    </row>
    <row r="8" spans="1:6">
      <c r="A8" s="56"/>
      <c r="B8" s="51"/>
      <c r="C8" s="50"/>
      <c r="D8" s="97"/>
      <c r="E8" s="99"/>
      <c r="F8" s="98"/>
    </row>
    <row r="9" spans="1:6" ht="25.5">
      <c r="A9" s="56" t="s">
        <v>109</v>
      </c>
      <c r="B9" s="51" t="s">
        <v>194</v>
      </c>
      <c r="C9" s="50" t="s">
        <v>104</v>
      </c>
      <c r="D9" s="97">
        <v>591</v>
      </c>
      <c r="E9" s="99">
        <v>2.9</v>
      </c>
      <c r="F9" s="98">
        <f>D9*E9</f>
        <v>1713.8999999999999</v>
      </c>
    </row>
    <row r="10" spans="1:6">
      <c r="A10" s="56"/>
      <c r="B10" s="51"/>
      <c r="C10" s="50"/>
      <c r="D10" s="97"/>
      <c r="E10" s="99"/>
      <c r="F10" s="98"/>
    </row>
    <row r="11" spans="1:6" ht="25.5">
      <c r="A11" s="56" t="s">
        <v>110</v>
      </c>
      <c r="B11" s="51" t="s">
        <v>195</v>
      </c>
      <c r="C11" s="50" t="s">
        <v>130</v>
      </c>
      <c r="D11" s="97">
        <v>100</v>
      </c>
      <c r="E11" s="99">
        <v>1.2</v>
      </c>
      <c r="F11" s="98">
        <f>D11*E11</f>
        <v>120</v>
      </c>
    </row>
    <row r="12" spans="1:6" ht="9.75" customHeight="1">
      <c r="A12" s="66"/>
      <c r="B12" s="7"/>
      <c r="C12" s="62"/>
      <c r="D12" s="63"/>
      <c r="E12" s="64"/>
      <c r="F12" s="64"/>
    </row>
    <row r="13" spans="1:6" ht="9.75" customHeight="1">
      <c r="A13" s="56"/>
      <c r="B13" s="6"/>
      <c r="C13" s="57"/>
      <c r="D13" s="58"/>
      <c r="E13" s="59"/>
    </row>
    <row r="14" spans="1:6">
      <c r="C14" s="9" t="s">
        <v>162</v>
      </c>
      <c r="F14" s="65">
        <f>SUM(F4:F11)</f>
        <v>5524.3</v>
      </c>
    </row>
    <row r="20" spans="2:2">
      <c r="B20"/>
    </row>
    <row r="24" spans="2:2" ht="16.5" customHeight="1"/>
  </sheetData>
  <phoneticPr fontId="0" type="noConversion"/>
  <pageMargins left="0.98425196850393704" right="0.55118110236220474" top="0.74803149606299213" bottom="0.74803149606299213" header="0.31496062992125984" footer="0.31496062992125984"/>
  <pageSetup paperSize="9" orientation="portrait" r:id="rId1"/>
  <headerFooter alignWithMargins="0">
    <oddHeader>&amp;C&amp;F; &amp;A</oddHeader>
    <oddFooter>&amp;C&amp;14&amp;Y&amp;P od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workbookViewId="0">
      <selection activeCell="B30" sqref="B30"/>
    </sheetView>
  </sheetViews>
  <sheetFormatPr defaultColWidth="9.140625" defaultRowHeight="12.75"/>
  <cols>
    <col min="1" max="1" width="4.85546875" style="49" customWidth="1" collapsed="1"/>
    <col min="2" max="2" width="51.5703125" style="49" customWidth="1" collapsed="1"/>
    <col min="3" max="3" width="6.140625" style="49" customWidth="1" collapsed="1"/>
    <col min="4" max="5" width="9.140625" style="49" collapsed="1"/>
    <col min="6" max="6" width="13.28515625" style="49" customWidth="1" collapsed="1"/>
    <col min="7" max="16384" width="9.140625" style="49" collapsed="1"/>
  </cols>
  <sheetData>
    <row r="1" spans="1:6">
      <c r="A1" s="106" t="s">
        <v>92</v>
      </c>
      <c r="B1" s="12" t="s">
        <v>144</v>
      </c>
      <c r="C1" s="73"/>
      <c r="D1" s="74"/>
      <c r="E1" s="75"/>
      <c r="F1" s="76"/>
    </row>
    <row r="2" spans="1:6" ht="4.5" customHeight="1">
      <c r="A2" s="84"/>
      <c r="B2" s="78"/>
      <c r="C2" s="77"/>
      <c r="D2" s="77"/>
      <c r="E2" s="77"/>
      <c r="F2" s="77"/>
    </row>
    <row r="3" spans="1:6" ht="25.5">
      <c r="A3" s="52" t="s">
        <v>173</v>
      </c>
      <c r="B3" s="14" t="s">
        <v>174</v>
      </c>
      <c r="C3" s="53" t="s">
        <v>175</v>
      </c>
      <c r="D3" s="54" t="s">
        <v>176</v>
      </c>
      <c r="E3" s="55" t="s">
        <v>177</v>
      </c>
      <c r="F3" s="105" t="s">
        <v>178</v>
      </c>
    </row>
    <row r="4" spans="1:6" ht="12" customHeight="1">
      <c r="A4" s="56"/>
      <c r="B4" s="5"/>
      <c r="C4" s="57"/>
      <c r="D4" s="58"/>
      <c r="E4" s="59"/>
      <c r="F4" s="59"/>
    </row>
    <row r="5" spans="1:6">
      <c r="A5" s="56" t="s">
        <v>179</v>
      </c>
      <c r="B5" s="51" t="s">
        <v>196</v>
      </c>
      <c r="C5" s="50" t="s">
        <v>182</v>
      </c>
      <c r="D5" s="97">
        <v>70</v>
      </c>
      <c r="E5" s="99">
        <v>20</v>
      </c>
      <c r="F5" s="98">
        <f>D5*E5</f>
        <v>1400</v>
      </c>
    </row>
    <row r="6" spans="1:6">
      <c r="A6" s="56"/>
      <c r="B6" s="60"/>
      <c r="C6" s="50"/>
      <c r="D6" s="97"/>
      <c r="E6" s="99"/>
      <c r="F6" s="98"/>
    </row>
    <row r="7" spans="1:6">
      <c r="A7" s="56" t="s">
        <v>181</v>
      </c>
      <c r="B7" s="51" t="s">
        <v>197</v>
      </c>
      <c r="C7" s="50" t="s">
        <v>182</v>
      </c>
      <c r="D7" s="97">
        <v>7</v>
      </c>
      <c r="E7" s="99">
        <v>31.5</v>
      </c>
      <c r="F7" s="98">
        <f t="shared" ref="F7:F53" si="0">D7*E7</f>
        <v>220.5</v>
      </c>
    </row>
    <row r="8" spans="1:6">
      <c r="A8" s="56"/>
      <c r="B8" s="51"/>
      <c r="C8" s="50"/>
      <c r="D8" s="97"/>
      <c r="E8" s="99"/>
      <c r="F8" s="98"/>
    </row>
    <row r="9" spans="1:6">
      <c r="A9" s="56"/>
      <c r="B9" s="51" t="s">
        <v>198</v>
      </c>
      <c r="C9" s="50" t="s">
        <v>182</v>
      </c>
      <c r="D9" s="97">
        <v>2</v>
      </c>
      <c r="E9" s="99">
        <v>113.6</v>
      </c>
      <c r="F9" s="98">
        <f t="shared" si="0"/>
        <v>227.2</v>
      </c>
    </row>
    <row r="10" spans="1:6">
      <c r="A10" s="56"/>
      <c r="B10" s="51"/>
      <c r="C10" s="50"/>
      <c r="D10" s="97"/>
      <c r="E10" s="99"/>
      <c r="F10" s="98"/>
    </row>
    <row r="11" spans="1:6" ht="25.5">
      <c r="A11" s="56" t="s">
        <v>109</v>
      </c>
      <c r="B11" s="51" t="s">
        <v>199</v>
      </c>
      <c r="C11" s="50" t="s">
        <v>104</v>
      </c>
      <c r="D11" s="97">
        <v>176.3</v>
      </c>
      <c r="E11" s="99">
        <v>1.25</v>
      </c>
      <c r="F11" s="98">
        <f t="shared" si="0"/>
        <v>220.375</v>
      </c>
    </row>
    <row r="12" spans="1:6">
      <c r="A12" s="56"/>
      <c r="B12" s="51"/>
      <c r="C12" s="50"/>
      <c r="D12" s="97"/>
      <c r="E12" s="99"/>
      <c r="F12" s="98"/>
    </row>
    <row r="13" spans="1:6" ht="25.5">
      <c r="A13" s="56" t="s">
        <v>110</v>
      </c>
      <c r="B13" s="51" t="s">
        <v>200</v>
      </c>
      <c r="C13" s="50" t="s">
        <v>182</v>
      </c>
      <c r="D13" s="97">
        <v>6</v>
      </c>
      <c r="E13" s="99">
        <v>21</v>
      </c>
      <c r="F13" s="98">
        <f t="shared" si="0"/>
        <v>126</v>
      </c>
    </row>
    <row r="14" spans="1:6">
      <c r="A14" s="56"/>
      <c r="B14" s="51"/>
      <c r="C14" s="50"/>
      <c r="D14" s="97"/>
      <c r="E14" s="99"/>
      <c r="F14" s="98"/>
    </row>
    <row r="15" spans="1:6" ht="25.5">
      <c r="A15" s="56" t="s">
        <v>111</v>
      </c>
      <c r="B15" s="51" t="s">
        <v>201</v>
      </c>
      <c r="C15" s="50" t="s">
        <v>182</v>
      </c>
      <c r="D15" s="97">
        <v>8</v>
      </c>
      <c r="E15" s="99">
        <v>37</v>
      </c>
      <c r="F15" s="98">
        <f t="shared" si="0"/>
        <v>296</v>
      </c>
    </row>
    <row r="16" spans="1:6">
      <c r="A16" s="56"/>
      <c r="B16" s="51"/>
      <c r="C16" s="50"/>
      <c r="D16" s="97"/>
      <c r="E16" s="99"/>
      <c r="F16" s="98"/>
    </row>
    <row r="17" spans="1:6" ht="25.5">
      <c r="A17" s="56" t="s">
        <v>112</v>
      </c>
      <c r="B17" s="51" t="s">
        <v>202</v>
      </c>
      <c r="C17" s="50" t="s">
        <v>182</v>
      </c>
      <c r="D17" s="97">
        <v>6</v>
      </c>
      <c r="E17" s="99">
        <v>25</v>
      </c>
      <c r="F17" s="98">
        <f t="shared" si="0"/>
        <v>150</v>
      </c>
    </row>
    <row r="18" spans="1:6">
      <c r="A18" s="56"/>
      <c r="B18" s="51"/>
      <c r="C18" s="50"/>
      <c r="D18" s="97"/>
      <c r="E18" s="99"/>
      <c r="F18" s="98"/>
    </row>
    <row r="19" spans="1:6" ht="25.5">
      <c r="A19" s="56" t="s">
        <v>113</v>
      </c>
      <c r="B19" s="51" t="s">
        <v>203</v>
      </c>
      <c r="C19" s="50" t="s">
        <v>182</v>
      </c>
      <c r="D19" s="97">
        <v>4</v>
      </c>
      <c r="E19" s="99">
        <v>12</v>
      </c>
      <c r="F19" s="98">
        <f t="shared" si="0"/>
        <v>48</v>
      </c>
    </row>
    <row r="20" spans="1:6">
      <c r="A20" s="56"/>
      <c r="B20" s="51"/>
      <c r="C20" s="50"/>
      <c r="D20" s="97"/>
      <c r="E20" s="99"/>
      <c r="F20" s="98"/>
    </row>
    <row r="21" spans="1:6">
      <c r="A21" s="56" t="s">
        <v>114</v>
      </c>
      <c r="B21" s="51" t="s">
        <v>204</v>
      </c>
      <c r="C21" s="50" t="s">
        <v>182</v>
      </c>
      <c r="D21" s="97">
        <v>2</v>
      </c>
      <c r="E21" s="99">
        <v>46</v>
      </c>
      <c r="F21" s="98">
        <f t="shared" si="0"/>
        <v>92</v>
      </c>
    </row>
    <row r="22" spans="1:6">
      <c r="A22" s="56"/>
      <c r="B22" s="51"/>
      <c r="C22" s="50"/>
      <c r="D22" s="97"/>
      <c r="E22" s="99"/>
      <c r="F22" s="98"/>
    </row>
    <row r="23" spans="1:6">
      <c r="A23" s="56" t="s">
        <v>115</v>
      </c>
      <c r="B23" s="51" t="s">
        <v>205</v>
      </c>
      <c r="C23" s="50" t="s">
        <v>182</v>
      </c>
      <c r="D23" s="97">
        <v>15</v>
      </c>
      <c r="E23" s="99">
        <v>16</v>
      </c>
      <c r="F23" s="98">
        <f t="shared" si="0"/>
        <v>240</v>
      </c>
    </row>
    <row r="24" spans="1:6">
      <c r="A24" s="56"/>
      <c r="B24" s="51"/>
      <c r="C24" s="50"/>
      <c r="D24" s="97"/>
      <c r="E24" s="99"/>
      <c r="F24" s="98"/>
    </row>
    <row r="25" spans="1:6">
      <c r="A25" s="56" t="s">
        <v>116</v>
      </c>
      <c r="B25" s="51" t="s">
        <v>206</v>
      </c>
      <c r="C25" s="50" t="s">
        <v>182</v>
      </c>
      <c r="D25" s="97">
        <v>5</v>
      </c>
      <c r="E25" s="99">
        <v>35</v>
      </c>
      <c r="F25" s="98">
        <f t="shared" si="0"/>
        <v>175</v>
      </c>
    </row>
    <row r="26" spans="1:6">
      <c r="A26" s="56"/>
      <c r="B26" s="51"/>
      <c r="C26" s="50"/>
      <c r="D26" s="97"/>
      <c r="E26" s="99"/>
      <c r="F26" s="98"/>
    </row>
    <row r="27" spans="1:6">
      <c r="A27" s="56" t="s">
        <v>117</v>
      </c>
      <c r="B27" s="51" t="s">
        <v>207</v>
      </c>
      <c r="C27" s="50" t="s">
        <v>182</v>
      </c>
      <c r="D27" s="97">
        <v>5</v>
      </c>
      <c r="E27" s="99">
        <v>330</v>
      </c>
      <c r="F27" s="98">
        <f t="shared" si="0"/>
        <v>1650</v>
      </c>
    </row>
    <row r="28" spans="1:6">
      <c r="A28" s="56"/>
      <c r="B28" s="51"/>
      <c r="C28" s="50"/>
      <c r="D28" s="97"/>
      <c r="E28" s="99"/>
      <c r="F28" s="98"/>
    </row>
    <row r="29" spans="1:6">
      <c r="A29" s="56" t="s">
        <v>118</v>
      </c>
      <c r="B29" s="51" t="s">
        <v>208</v>
      </c>
      <c r="C29" s="50" t="s">
        <v>182</v>
      </c>
      <c r="D29" s="97">
        <v>2</v>
      </c>
      <c r="E29" s="99">
        <v>26</v>
      </c>
      <c r="F29" s="98">
        <f t="shared" si="0"/>
        <v>52</v>
      </c>
    </row>
    <row r="30" spans="1:6">
      <c r="A30" s="56"/>
      <c r="B30" s="51"/>
      <c r="C30" s="50"/>
      <c r="D30" s="97"/>
      <c r="E30" s="99"/>
      <c r="F30" s="98"/>
    </row>
    <row r="31" spans="1:6">
      <c r="A31" s="56" t="s">
        <v>119</v>
      </c>
      <c r="B31" s="51" t="s">
        <v>209</v>
      </c>
      <c r="C31" s="50" t="s">
        <v>182</v>
      </c>
      <c r="D31" s="97">
        <v>5</v>
      </c>
      <c r="E31" s="99">
        <v>21</v>
      </c>
      <c r="F31" s="98">
        <f t="shared" si="0"/>
        <v>105</v>
      </c>
    </row>
    <row r="32" spans="1:6">
      <c r="A32" s="56"/>
      <c r="B32" s="51"/>
      <c r="C32" s="50"/>
      <c r="D32" s="97"/>
      <c r="E32" s="99"/>
      <c r="F32" s="98"/>
    </row>
    <row r="33" spans="1:6">
      <c r="A33" s="56" t="s">
        <v>120</v>
      </c>
      <c r="B33" s="51" t="s">
        <v>210</v>
      </c>
      <c r="C33" s="50" t="s">
        <v>182</v>
      </c>
      <c r="D33" s="97">
        <v>6</v>
      </c>
      <c r="E33" s="99">
        <v>12</v>
      </c>
      <c r="F33" s="98">
        <f t="shared" si="0"/>
        <v>72</v>
      </c>
    </row>
    <row r="34" spans="1:6">
      <c r="A34" s="56"/>
      <c r="B34" s="51"/>
      <c r="C34" s="50"/>
      <c r="D34" s="97"/>
      <c r="E34" s="99"/>
      <c r="F34" s="98"/>
    </row>
    <row r="35" spans="1:6">
      <c r="A35" s="56" t="s">
        <v>122</v>
      </c>
      <c r="B35" s="51" t="s">
        <v>211</v>
      </c>
      <c r="C35" s="50" t="s">
        <v>182</v>
      </c>
      <c r="D35" s="97">
        <v>6</v>
      </c>
      <c r="E35" s="99">
        <v>12</v>
      </c>
      <c r="F35" s="98">
        <f t="shared" si="0"/>
        <v>72</v>
      </c>
    </row>
    <row r="36" spans="1:6">
      <c r="A36" s="56"/>
      <c r="B36" s="51"/>
      <c r="C36" s="50"/>
      <c r="D36" s="97"/>
      <c r="E36" s="99"/>
      <c r="F36" s="98"/>
    </row>
    <row r="37" spans="1:6" ht="63.75">
      <c r="A37" s="56" t="s">
        <v>123</v>
      </c>
      <c r="B37" s="51" t="s">
        <v>212</v>
      </c>
      <c r="C37" s="50" t="s">
        <v>180</v>
      </c>
      <c r="D37" s="97">
        <v>1</v>
      </c>
      <c r="E37" s="99">
        <v>8185</v>
      </c>
      <c r="F37" s="98">
        <f t="shared" si="0"/>
        <v>8185</v>
      </c>
    </row>
    <row r="38" spans="1:6">
      <c r="A38" s="56"/>
      <c r="B38" s="51"/>
      <c r="C38" s="50"/>
      <c r="D38" s="97"/>
      <c r="E38" s="99"/>
      <c r="F38" s="98"/>
    </row>
    <row r="39" spans="1:6" ht="63.75">
      <c r="A39" s="56" t="s">
        <v>124</v>
      </c>
      <c r="B39" s="51" t="s">
        <v>213</v>
      </c>
      <c r="C39" s="50"/>
      <c r="D39" s="97"/>
      <c r="E39" s="99"/>
      <c r="F39" s="98"/>
    </row>
    <row r="40" spans="1:6">
      <c r="A40" s="56"/>
      <c r="B40" s="51"/>
      <c r="C40" s="50"/>
      <c r="D40" s="97"/>
      <c r="E40" s="99"/>
      <c r="F40" s="98"/>
    </row>
    <row r="41" spans="1:6">
      <c r="A41" s="56"/>
      <c r="B41" s="51" t="s">
        <v>214</v>
      </c>
      <c r="C41" s="50" t="s">
        <v>182</v>
      </c>
      <c r="D41" s="97">
        <v>1</v>
      </c>
      <c r="E41" s="99">
        <v>4700</v>
      </c>
      <c r="F41" s="98">
        <f t="shared" si="0"/>
        <v>4700</v>
      </c>
    </row>
    <row r="42" spans="1:6">
      <c r="A42" s="56"/>
      <c r="B42" s="51"/>
      <c r="C42" s="50"/>
      <c r="D42" s="97"/>
      <c r="E42" s="99"/>
      <c r="F42" s="98"/>
    </row>
    <row r="43" spans="1:6">
      <c r="A43" s="56"/>
      <c r="B43" s="51" t="s">
        <v>215</v>
      </c>
      <c r="C43" s="50" t="s">
        <v>182</v>
      </c>
      <c r="D43" s="97">
        <v>1</v>
      </c>
      <c r="E43" s="99">
        <v>5000</v>
      </c>
      <c r="F43" s="98">
        <f t="shared" si="0"/>
        <v>5000</v>
      </c>
    </row>
    <row r="44" spans="1:6">
      <c r="A44" s="56"/>
      <c r="B44" s="51"/>
      <c r="C44" s="50"/>
      <c r="D44" s="97"/>
      <c r="E44" s="99"/>
      <c r="F44" s="98"/>
    </row>
    <row r="45" spans="1:6" ht="39" customHeight="1">
      <c r="A45" s="56" t="s">
        <v>125</v>
      </c>
      <c r="B45" s="51" t="s">
        <v>216</v>
      </c>
      <c r="C45" s="50" t="s">
        <v>182</v>
      </c>
      <c r="D45" s="97">
        <v>12</v>
      </c>
      <c r="E45" s="99">
        <v>1900</v>
      </c>
      <c r="F45" s="98">
        <f t="shared" si="0"/>
        <v>22800</v>
      </c>
    </row>
    <row r="46" spans="1:6">
      <c r="A46" s="56"/>
      <c r="B46" s="51"/>
      <c r="C46" s="50"/>
      <c r="D46" s="97"/>
      <c r="E46" s="99"/>
      <c r="F46" s="98"/>
    </row>
    <row r="47" spans="1:6" ht="51">
      <c r="A47" s="56" t="s">
        <v>126</v>
      </c>
      <c r="B47" s="51" t="s">
        <v>217</v>
      </c>
      <c r="C47" s="50" t="s">
        <v>107</v>
      </c>
      <c r="D47" s="97">
        <v>29.9</v>
      </c>
      <c r="E47" s="99">
        <v>160</v>
      </c>
      <c r="F47" s="98">
        <f t="shared" si="0"/>
        <v>4784</v>
      </c>
    </row>
    <row r="48" spans="1:6">
      <c r="A48" s="56"/>
      <c r="B48" s="51"/>
      <c r="C48" s="50"/>
      <c r="D48" s="97"/>
      <c r="E48" s="99"/>
      <c r="F48" s="98"/>
    </row>
    <row r="49" spans="1:6" ht="25.5">
      <c r="A49" s="56" t="s">
        <v>127</v>
      </c>
      <c r="B49" s="51" t="s">
        <v>218</v>
      </c>
      <c r="C49" s="50" t="s">
        <v>41</v>
      </c>
      <c r="D49" s="97">
        <v>1</v>
      </c>
      <c r="E49" s="99">
        <v>9897.85</v>
      </c>
      <c r="F49" s="98">
        <f t="shared" si="0"/>
        <v>9897.85</v>
      </c>
    </row>
    <row r="50" spans="1:6">
      <c r="A50" s="56"/>
      <c r="B50" s="51"/>
      <c r="C50" s="50"/>
      <c r="D50" s="97"/>
      <c r="E50" s="99"/>
      <c r="F50" s="98"/>
    </row>
    <row r="51" spans="1:6" ht="51" customHeight="1">
      <c r="A51" s="56" t="s">
        <v>128</v>
      </c>
      <c r="B51" s="51" t="s">
        <v>219</v>
      </c>
      <c r="C51" s="50" t="s">
        <v>180</v>
      </c>
      <c r="D51" s="97">
        <v>1</v>
      </c>
      <c r="E51" s="99">
        <v>5000</v>
      </c>
      <c r="F51" s="98">
        <f t="shared" si="0"/>
        <v>5000</v>
      </c>
    </row>
    <row r="52" spans="1:6">
      <c r="A52" s="56"/>
      <c r="B52" s="51"/>
      <c r="C52" s="50"/>
      <c r="D52" s="97"/>
      <c r="E52" s="99"/>
      <c r="F52" s="98"/>
    </row>
    <row r="53" spans="1:6" ht="25.5">
      <c r="A53" s="56" t="s">
        <v>129</v>
      </c>
      <c r="B53" s="51" t="s">
        <v>220</v>
      </c>
      <c r="C53" s="50" t="s">
        <v>182</v>
      </c>
      <c r="D53" s="97">
        <v>1</v>
      </c>
      <c r="E53" s="99">
        <v>500</v>
      </c>
      <c r="F53" s="98">
        <f t="shared" si="0"/>
        <v>500</v>
      </c>
    </row>
    <row r="54" spans="1:6" ht="14.25" customHeight="1">
      <c r="A54" s="66"/>
      <c r="B54" s="7"/>
      <c r="C54" s="62"/>
      <c r="D54" s="63"/>
      <c r="E54" s="64"/>
      <c r="F54" s="64"/>
    </row>
    <row r="55" spans="1:6" ht="9.75" customHeight="1">
      <c r="A55" s="56"/>
      <c r="B55" s="6"/>
      <c r="C55" s="57"/>
      <c r="D55" s="58"/>
      <c r="E55" s="59"/>
    </row>
    <row r="56" spans="1:6">
      <c r="C56" s="9" t="s">
        <v>162</v>
      </c>
      <c r="F56" s="65">
        <f>SUM(F4:F54)</f>
        <v>66012.924999999988</v>
      </c>
    </row>
    <row r="62" spans="1:6">
      <c r="B62"/>
    </row>
    <row r="66" ht="16.5" customHeight="1"/>
  </sheetData>
  <phoneticPr fontId="0" type="noConversion"/>
  <pageMargins left="0.98425196850393704" right="0.55118110236220474" top="0.74803149606299213" bottom="0.74803149606299213" header="0.31496062992125984" footer="0.31496062992125984"/>
  <pageSetup paperSize="9" orientation="portrait" r:id="rId1"/>
  <headerFooter alignWithMargins="0">
    <oddHeader>&amp;C&amp;F; &amp;A</oddHeader>
    <oddFooter>&amp;C&amp;14&amp;Y&amp;P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3"/>
  </sheetPr>
  <dimension ref="A1:L78"/>
  <sheetViews>
    <sheetView showZeros="0" view="pageBreakPreview" zoomScale="115" zoomScaleNormal="100" zoomScaleSheetLayoutView="115" workbookViewId="0">
      <selection activeCell="B45" sqref="B45"/>
    </sheetView>
  </sheetViews>
  <sheetFormatPr defaultColWidth="8.85546875" defaultRowHeight="12.75"/>
  <cols>
    <col min="1" max="1" width="12" style="158" customWidth="1" collapsed="1"/>
    <col min="2" max="2" width="74.85546875" style="158" customWidth="1" collapsed="1"/>
    <col min="3" max="16384" width="8.85546875" collapsed="1"/>
  </cols>
  <sheetData>
    <row r="1" spans="1:6" s="130" customFormat="1" ht="16.5">
      <c r="A1" s="354"/>
      <c r="B1" s="355" t="s">
        <v>221</v>
      </c>
      <c r="F1" s="131"/>
    </row>
    <row r="2" spans="1:6" s="130" customFormat="1" ht="25.5">
      <c r="A2" s="354"/>
      <c r="B2" s="350" t="s">
        <v>351</v>
      </c>
      <c r="F2" s="131"/>
    </row>
    <row r="3" spans="1:6" s="130" customFormat="1" ht="25.5">
      <c r="A3" s="354"/>
      <c r="B3" s="350" t="s">
        <v>222</v>
      </c>
      <c r="F3" s="131"/>
    </row>
    <row r="4" spans="1:6" s="130" customFormat="1" ht="38.25">
      <c r="A4" s="354"/>
      <c r="B4" s="350" t="s">
        <v>223</v>
      </c>
      <c r="F4" s="131"/>
    </row>
    <row r="5" spans="1:6" s="130" customFormat="1" ht="38.25">
      <c r="A5" s="354"/>
      <c r="B5" s="350" t="s">
        <v>352</v>
      </c>
      <c r="F5" s="131"/>
    </row>
    <row r="6" spans="1:6" s="130" customFormat="1" ht="43.5" customHeight="1">
      <c r="A6" s="354"/>
      <c r="B6" s="350" t="s">
        <v>353</v>
      </c>
      <c r="F6" s="131"/>
    </row>
    <row r="7" spans="1:6" s="130" customFormat="1" ht="38.25">
      <c r="A7" s="354"/>
      <c r="B7" s="350" t="s">
        <v>354</v>
      </c>
      <c r="F7" s="131"/>
    </row>
    <row r="8" spans="1:6" s="130" customFormat="1" ht="16.5">
      <c r="A8" s="354"/>
      <c r="B8" s="185" t="s">
        <v>224</v>
      </c>
      <c r="F8" s="131"/>
    </row>
    <row r="9" spans="1:6" s="130" customFormat="1" ht="16.5">
      <c r="A9" s="354"/>
      <c r="B9" s="350" t="s">
        <v>225</v>
      </c>
      <c r="F9" s="131"/>
    </row>
    <row r="10" spans="1:6" s="130" customFormat="1" ht="16.5">
      <c r="A10" s="354"/>
      <c r="B10" s="350" t="s">
        <v>226</v>
      </c>
      <c r="F10" s="131"/>
    </row>
    <row r="11" spans="1:6" s="130" customFormat="1" ht="16.5">
      <c r="A11" s="354"/>
      <c r="B11" s="350" t="s">
        <v>227</v>
      </c>
      <c r="F11" s="131"/>
    </row>
    <row r="12" spans="1:6" s="130" customFormat="1" ht="16.5">
      <c r="A12" s="354"/>
      <c r="B12" s="350" t="s">
        <v>228</v>
      </c>
      <c r="F12" s="131"/>
    </row>
    <row r="13" spans="1:6" s="130" customFormat="1" ht="16.5">
      <c r="A13" s="354"/>
      <c r="B13" s="350" t="s">
        <v>229</v>
      </c>
      <c r="F13" s="131"/>
    </row>
    <row r="14" spans="1:6" s="130" customFormat="1" ht="16.5">
      <c r="A14" s="354"/>
      <c r="B14" s="350" t="s">
        <v>230</v>
      </c>
      <c r="F14" s="131"/>
    </row>
    <row r="15" spans="1:6" s="130" customFormat="1" ht="16.5">
      <c r="A15" s="354"/>
      <c r="B15" s="350" t="s">
        <v>231</v>
      </c>
      <c r="F15" s="131"/>
    </row>
    <row r="16" spans="1:6" s="130" customFormat="1" ht="16.5">
      <c r="A16" s="354"/>
      <c r="B16" s="350" t="s">
        <v>232</v>
      </c>
      <c r="F16" s="131"/>
    </row>
    <row r="17" spans="1:12" s="130" customFormat="1" ht="16.5">
      <c r="A17" s="354"/>
      <c r="B17" s="350" t="s">
        <v>233</v>
      </c>
      <c r="F17" s="131"/>
    </row>
    <row r="18" spans="1:12" s="130" customFormat="1" ht="16.5">
      <c r="A18" s="354"/>
      <c r="B18" s="171" t="s">
        <v>234</v>
      </c>
      <c r="F18" s="131"/>
    </row>
    <row r="19" spans="1:12" s="130" customFormat="1" ht="16.5">
      <c r="A19" s="354"/>
      <c r="B19" s="350" t="s">
        <v>235</v>
      </c>
      <c r="F19" s="131"/>
    </row>
    <row r="20" spans="1:12" s="130" customFormat="1" ht="16.5">
      <c r="A20" s="354"/>
      <c r="B20" s="350" t="s">
        <v>355</v>
      </c>
      <c r="F20" s="131"/>
    </row>
    <row r="21" spans="1:12" s="130" customFormat="1" ht="38.25">
      <c r="A21" s="354"/>
      <c r="B21" s="348" t="s">
        <v>356</v>
      </c>
      <c r="F21" s="131"/>
    </row>
    <row r="22" spans="1:12" s="130" customFormat="1" ht="16.5">
      <c r="A22" s="354"/>
      <c r="B22" s="348"/>
      <c r="F22" s="131"/>
    </row>
    <row r="23" spans="1:12" s="137" customFormat="1" ht="15" customHeight="1">
      <c r="A23" s="203"/>
      <c r="B23" s="356" t="s">
        <v>236</v>
      </c>
      <c r="C23" s="132"/>
      <c r="D23" s="133"/>
      <c r="E23" s="133"/>
      <c r="F23" s="134"/>
      <c r="G23" s="135"/>
      <c r="H23" s="136"/>
      <c r="I23" s="136"/>
      <c r="J23" s="136"/>
      <c r="K23" s="136"/>
      <c r="L23" s="136"/>
    </row>
    <row r="24" spans="1:12" s="137" customFormat="1" ht="25.5">
      <c r="A24" s="203" t="s">
        <v>245</v>
      </c>
      <c r="B24" s="348" t="s">
        <v>333</v>
      </c>
      <c r="C24" s="132"/>
      <c r="D24" s="133"/>
      <c r="E24" s="133"/>
      <c r="F24" s="134"/>
      <c r="G24" s="135"/>
      <c r="H24" s="136"/>
      <c r="I24" s="136"/>
      <c r="J24" s="136"/>
      <c r="K24" s="136"/>
      <c r="L24" s="136"/>
    </row>
    <row r="25" spans="1:12" s="137" customFormat="1" ht="15.75" customHeight="1">
      <c r="A25" s="203"/>
      <c r="B25" s="348" t="s">
        <v>357</v>
      </c>
      <c r="C25" s="132"/>
      <c r="D25" s="133"/>
      <c r="E25" s="133"/>
      <c r="F25" s="134"/>
      <c r="G25" s="135"/>
      <c r="H25" s="136"/>
      <c r="I25" s="136"/>
      <c r="J25" s="136"/>
      <c r="K25" s="136"/>
      <c r="L25" s="136"/>
    </row>
    <row r="26" spans="1:12" s="137" customFormat="1" ht="29.25" customHeight="1">
      <c r="A26" s="203"/>
      <c r="B26" s="348" t="s">
        <v>334</v>
      </c>
      <c r="C26" s="132"/>
      <c r="D26" s="133"/>
      <c r="E26" s="133"/>
      <c r="F26" s="134"/>
      <c r="G26" s="135"/>
      <c r="H26" s="136"/>
      <c r="I26" s="136"/>
      <c r="J26" s="136"/>
      <c r="K26" s="136"/>
      <c r="L26" s="136"/>
    </row>
    <row r="27" spans="1:12" s="137" customFormat="1" ht="27.95" customHeight="1">
      <c r="A27" s="203"/>
      <c r="B27" s="348" t="s">
        <v>237</v>
      </c>
      <c r="C27" s="132"/>
      <c r="D27" s="133"/>
      <c r="E27" s="133"/>
      <c r="F27" s="134"/>
      <c r="G27" s="135"/>
      <c r="H27" s="136"/>
      <c r="I27" s="136"/>
      <c r="J27" s="136"/>
      <c r="K27" s="136"/>
      <c r="L27" s="136"/>
    </row>
    <row r="28" spans="1:12" s="137" customFormat="1" ht="38.25">
      <c r="A28" s="203"/>
      <c r="B28" s="348" t="s">
        <v>238</v>
      </c>
      <c r="C28" s="132"/>
      <c r="D28" s="133"/>
      <c r="E28" s="133"/>
      <c r="F28" s="134"/>
      <c r="G28" s="135"/>
      <c r="H28" s="136"/>
      <c r="I28" s="136"/>
      <c r="J28" s="136"/>
      <c r="K28" s="136"/>
      <c r="L28" s="136"/>
    </row>
    <row r="29" spans="1:12" s="143" customFormat="1">
      <c r="A29" s="203" t="s">
        <v>246</v>
      </c>
      <c r="B29" s="348" t="s">
        <v>7</v>
      </c>
      <c r="C29" s="138"/>
      <c r="D29" s="139"/>
      <c r="E29" s="139"/>
      <c r="F29" s="140"/>
      <c r="G29" s="141"/>
      <c r="H29" s="142"/>
      <c r="I29" s="142"/>
      <c r="J29" s="142"/>
      <c r="K29" s="142"/>
      <c r="L29" s="142"/>
    </row>
    <row r="30" spans="1:12" s="143" customFormat="1" ht="25.5">
      <c r="A30" s="203"/>
      <c r="B30" s="348" t="s">
        <v>8</v>
      </c>
      <c r="C30" s="138"/>
      <c r="D30" s="139"/>
      <c r="E30" s="139"/>
      <c r="F30" s="140"/>
      <c r="G30" s="141"/>
      <c r="H30" s="142"/>
      <c r="I30" s="142"/>
      <c r="J30" s="142"/>
      <c r="K30" s="142"/>
      <c r="L30" s="142"/>
    </row>
    <row r="31" spans="1:12" s="143" customFormat="1">
      <c r="A31" s="203"/>
      <c r="B31" s="348" t="s">
        <v>239</v>
      </c>
      <c r="C31" s="138"/>
      <c r="D31" s="139"/>
      <c r="E31" s="139"/>
      <c r="F31" s="140"/>
      <c r="G31" s="141"/>
      <c r="H31" s="142"/>
      <c r="I31" s="142"/>
      <c r="J31" s="142"/>
      <c r="K31" s="142"/>
      <c r="L31" s="142"/>
    </row>
    <row r="32" spans="1:12" s="143" customFormat="1" ht="51">
      <c r="A32" s="203"/>
      <c r="B32" s="348" t="s">
        <v>240</v>
      </c>
      <c r="C32" s="138"/>
      <c r="D32" s="139"/>
      <c r="E32" s="139"/>
      <c r="F32" s="140"/>
      <c r="G32" s="141"/>
      <c r="H32" s="142"/>
      <c r="I32" s="142"/>
      <c r="J32" s="142"/>
      <c r="K32" s="142"/>
      <c r="L32" s="142"/>
    </row>
    <row r="33" spans="1:12" s="143" customFormat="1" ht="30" customHeight="1">
      <c r="A33" s="203"/>
      <c r="B33" s="348" t="s">
        <v>9</v>
      </c>
      <c r="C33" s="138"/>
      <c r="D33" s="139"/>
      <c r="E33" s="139"/>
      <c r="F33" s="140"/>
      <c r="G33" s="141"/>
      <c r="H33" s="142"/>
      <c r="I33" s="142"/>
      <c r="J33" s="142"/>
      <c r="K33" s="142"/>
      <c r="L33" s="142"/>
    </row>
    <row r="34" spans="1:12" s="143" customFormat="1" ht="30.75" customHeight="1">
      <c r="A34" s="203"/>
      <c r="B34" s="348" t="s">
        <v>241</v>
      </c>
      <c r="C34" s="138"/>
      <c r="D34" s="139"/>
      <c r="E34" s="139"/>
      <c r="F34" s="140"/>
      <c r="G34" s="141"/>
      <c r="H34" s="142"/>
      <c r="I34" s="142"/>
      <c r="J34" s="142"/>
      <c r="K34" s="142"/>
      <c r="L34" s="142"/>
    </row>
    <row r="35" spans="1:12" s="143" customFormat="1" ht="16.5" customHeight="1">
      <c r="A35" s="203"/>
      <c r="B35" s="348" t="s">
        <v>242</v>
      </c>
      <c r="C35" s="138"/>
      <c r="D35" s="139"/>
      <c r="E35" s="139"/>
      <c r="F35" s="140"/>
      <c r="G35" s="141"/>
      <c r="H35" s="142"/>
      <c r="I35" s="142"/>
      <c r="J35" s="142"/>
      <c r="K35" s="142"/>
      <c r="L35" s="142"/>
    </row>
    <row r="36" spans="1:12" s="143" customFormat="1" ht="38.25">
      <c r="A36" s="203"/>
      <c r="B36" s="348" t="s">
        <v>243</v>
      </c>
      <c r="C36" s="138"/>
      <c r="D36" s="139"/>
      <c r="E36" s="139"/>
      <c r="F36" s="140"/>
      <c r="G36" s="141"/>
      <c r="H36" s="142"/>
      <c r="I36" s="142"/>
      <c r="J36" s="142"/>
      <c r="K36" s="142"/>
      <c r="L36" s="142"/>
    </row>
    <row r="37" spans="1:12" s="143" customFormat="1" ht="25.5">
      <c r="A37" s="203"/>
      <c r="B37" s="180" t="s">
        <v>335</v>
      </c>
      <c r="C37" s="138"/>
      <c r="D37" s="139"/>
      <c r="E37" s="139"/>
      <c r="F37" s="140"/>
      <c r="G37" s="141"/>
      <c r="H37" s="142"/>
      <c r="I37" s="142"/>
      <c r="J37" s="142"/>
      <c r="K37" s="142"/>
      <c r="L37" s="142"/>
    </row>
    <row r="38" spans="1:12" s="143" customFormat="1" ht="25.5">
      <c r="A38" s="203"/>
      <c r="B38" s="180" t="s">
        <v>244</v>
      </c>
      <c r="C38" s="138"/>
      <c r="D38" s="139"/>
      <c r="E38" s="139"/>
      <c r="F38" s="140"/>
      <c r="G38" s="141"/>
      <c r="H38" s="142"/>
      <c r="I38" s="142"/>
      <c r="J38" s="142"/>
      <c r="K38" s="142"/>
      <c r="L38" s="142"/>
    </row>
    <row r="39" spans="1:12" s="143" customFormat="1" ht="25.5">
      <c r="A39" s="203" t="s">
        <v>251</v>
      </c>
      <c r="B39" s="348" t="s">
        <v>247</v>
      </c>
      <c r="C39" s="138"/>
      <c r="D39" s="139"/>
      <c r="E39" s="139"/>
      <c r="F39" s="140"/>
      <c r="G39" s="141"/>
      <c r="H39" s="142"/>
      <c r="I39" s="142"/>
      <c r="J39" s="142"/>
      <c r="K39" s="142"/>
      <c r="L39" s="142"/>
    </row>
    <row r="40" spans="1:12" s="143" customFormat="1" ht="38.25">
      <c r="A40" s="203"/>
      <c r="B40" s="348" t="s">
        <v>248</v>
      </c>
      <c r="C40" s="138"/>
      <c r="D40" s="139"/>
      <c r="E40" s="139"/>
      <c r="F40" s="140"/>
      <c r="G40" s="141"/>
      <c r="H40" s="142"/>
      <c r="I40" s="142"/>
      <c r="J40" s="142"/>
      <c r="K40" s="142"/>
      <c r="L40" s="142"/>
    </row>
    <row r="41" spans="1:12" s="143" customFormat="1" ht="27.95" customHeight="1">
      <c r="A41" s="203"/>
      <c r="B41" s="348" t="s">
        <v>249</v>
      </c>
      <c r="C41" s="138"/>
      <c r="D41" s="139"/>
      <c r="E41" s="139"/>
      <c r="F41" s="140"/>
      <c r="G41" s="141"/>
      <c r="H41" s="142"/>
      <c r="I41" s="142"/>
      <c r="J41" s="142"/>
      <c r="K41" s="142"/>
      <c r="L41" s="142"/>
    </row>
    <row r="42" spans="1:12" s="143" customFormat="1" ht="38.25">
      <c r="A42" s="203"/>
      <c r="B42" s="348" t="s">
        <v>250</v>
      </c>
      <c r="C42" s="138"/>
      <c r="D42" s="139"/>
      <c r="E42" s="139"/>
      <c r="F42" s="140"/>
      <c r="G42" s="141"/>
      <c r="H42" s="142"/>
      <c r="I42" s="142"/>
      <c r="J42" s="142"/>
      <c r="K42" s="142"/>
      <c r="L42" s="142"/>
    </row>
    <row r="43" spans="1:12" s="143" customFormat="1" ht="38.25">
      <c r="A43" s="203"/>
      <c r="B43" s="350" t="s">
        <v>358</v>
      </c>
      <c r="C43" s="138"/>
      <c r="D43" s="139"/>
      <c r="E43" s="139"/>
      <c r="F43" s="140"/>
      <c r="G43" s="141"/>
      <c r="H43" s="142"/>
      <c r="I43" s="142"/>
      <c r="J43" s="142"/>
      <c r="K43" s="142"/>
      <c r="L43" s="142"/>
    </row>
    <row r="44" spans="1:12" s="130" customFormat="1" ht="38.25">
      <c r="A44" s="354"/>
      <c r="B44" s="350" t="s">
        <v>252</v>
      </c>
      <c r="F44" s="131"/>
    </row>
    <row r="45" spans="1:12" s="143" customFormat="1">
      <c r="A45" s="203" t="s">
        <v>257</v>
      </c>
      <c r="B45" s="350" t="s">
        <v>10</v>
      </c>
      <c r="C45" s="138"/>
      <c r="D45" s="139"/>
      <c r="E45" s="139"/>
      <c r="F45" s="140"/>
      <c r="G45" s="141"/>
      <c r="H45" s="142"/>
      <c r="I45" s="142"/>
      <c r="J45" s="142"/>
      <c r="K45" s="142"/>
      <c r="L45" s="142"/>
    </row>
    <row r="46" spans="1:12" s="143" customFormat="1" ht="25.5">
      <c r="A46" s="203"/>
      <c r="B46" s="350" t="s">
        <v>359</v>
      </c>
      <c r="C46" s="138"/>
      <c r="D46" s="139"/>
      <c r="E46" s="139"/>
      <c r="F46" s="140"/>
      <c r="G46" s="141"/>
      <c r="H46" s="142"/>
      <c r="I46" s="142"/>
      <c r="J46" s="142"/>
      <c r="K46" s="142"/>
      <c r="L46" s="142"/>
    </row>
    <row r="47" spans="1:12" s="143" customFormat="1" ht="45" customHeight="1">
      <c r="A47" s="203"/>
      <c r="B47" s="348" t="s">
        <v>360</v>
      </c>
      <c r="C47" s="138"/>
      <c r="D47" s="139"/>
      <c r="E47" s="139"/>
      <c r="F47" s="140"/>
      <c r="G47" s="141"/>
      <c r="H47" s="142"/>
      <c r="I47" s="142"/>
      <c r="J47" s="142"/>
      <c r="K47" s="142"/>
      <c r="L47" s="142"/>
    </row>
    <row r="48" spans="1:12" s="143" customFormat="1" ht="25.5">
      <c r="A48" s="203"/>
      <c r="B48" s="348" t="s">
        <v>253</v>
      </c>
      <c r="C48" s="138"/>
      <c r="D48" s="139"/>
      <c r="E48" s="139"/>
      <c r="F48" s="140"/>
      <c r="G48" s="141"/>
      <c r="H48" s="142"/>
      <c r="I48" s="142"/>
      <c r="J48" s="142"/>
      <c r="K48" s="142"/>
      <c r="L48" s="142"/>
    </row>
    <row r="49" spans="1:12" s="143" customFormat="1" ht="38.25">
      <c r="A49" s="203"/>
      <c r="B49" s="357" t="s">
        <v>254</v>
      </c>
      <c r="C49" s="138"/>
      <c r="D49" s="139"/>
      <c r="E49" s="139"/>
      <c r="F49" s="140"/>
      <c r="G49" s="141"/>
      <c r="H49" s="142"/>
      <c r="I49" s="142"/>
      <c r="J49" s="142"/>
      <c r="K49" s="142"/>
      <c r="L49" s="142"/>
    </row>
    <row r="50" spans="1:12" s="143" customFormat="1" ht="17.25" customHeight="1">
      <c r="A50" s="203"/>
      <c r="B50" s="350" t="s">
        <v>255</v>
      </c>
      <c r="C50" s="138"/>
      <c r="D50" s="139"/>
      <c r="E50" s="139"/>
      <c r="F50" s="140"/>
      <c r="G50" s="141"/>
      <c r="H50" s="142"/>
      <c r="I50" s="142"/>
      <c r="J50" s="142"/>
      <c r="K50" s="142"/>
      <c r="L50" s="142"/>
    </row>
    <row r="51" spans="1:12" s="143" customFormat="1" ht="38.25">
      <c r="A51" s="203"/>
      <c r="B51" s="348" t="s">
        <v>256</v>
      </c>
      <c r="C51" s="138"/>
      <c r="D51" s="139"/>
      <c r="E51" s="139"/>
      <c r="F51" s="140"/>
      <c r="G51" s="141"/>
      <c r="H51" s="142"/>
      <c r="I51" s="142"/>
      <c r="J51" s="142"/>
      <c r="K51" s="142"/>
      <c r="L51" s="142"/>
    </row>
    <row r="52" spans="1:12" s="143" customFormat="1" ht="51">
      <c r="A52" s="203"/>
      <c r="B52" s="350" t="s">
        <v>258</v>
      </c>
      <c r="C52" s="138"/>
      <c r="D52" s="144"/>
      <c r="E52" s="139"/>
      <c r="F52" s="140"/>
      <c r="G52" s="141"/>
      <c r="H52" s="142"/>
      <c r="I52" s="142"/>
      <c r="J52" s="142"/>
      <c r="K52" s="142"/>
      <c r="L52" s="142"/>
    </row>
    <row r="53" spans="1:12" s="143" customFormat="1" ht="25.5">
      <c r="A53" s="203"/>
      <c r="B53" s="350" t="s">
        <v>259</v>
      </c>
      <c r="C53" s="138"/>
      <c r="D53" s="144"/>
      <c r="E53" s="139"/>
      <c r="F53" s="140"/>
      <c r="G53" s="141"/>
      <c r="H53" s="142"/>
      <c r="I53" s="142"/>
      <c r="J53" s="142"/>
      <c r="K53" s="142"/>
      <c r="L53" s="142"/>
    </row>
    <row r="54" spans="1:12" s="143" customFormat="1" ht="15" customHeight="1">
      <c r="A54" s="203"/>
      <c r="B54" s="350" t="s">
        <v>260</v>
      </c>
      <c r="C54" s="138"/>
      <c r="D54" s="144"/>
      <c r="E54" s="139"/>
      <c r="F54" s="140"/>
      <c r="G54" s="141"/>
      <c r="H54" s="142"/>
      <c r="I54" s="142"/>
      <c r="J54" s="142"/>
      <c r="K54" s="142"/>
      <c r="L54" s="142"/>
    </row>
    <row r="55" spans="1:12" s="143" customFormat="1" ht="38.25">
      <c r="A55" s="185" t="s">
        <v>336</v>
      </c>
      <c r="B55" s="350" t="s">
        <v>361</v>
      </c>
      <c r="C55" s="138"/>
      <c r="D55" s="144"/>
      <c r="E55" s="139"/>
      <c r="F55" s="140"/>
      <c r="G55" s="141"/>
      <c r="H55" s="142"/>
      <c r="I55" s="142"/>
      <c r="J55" s="142"/>
      <c r="K55" s="142"/>
      <c r="L55" s="142"/>
    </row>
    <row r="56" spans="1:12" s="143" customFormat="1" ht="25.5" customHeight="1">
      <c r="A56" s="203"/>
      <c r="B56" s="180" t="s">
        <v>261</v>
      </c>
      <c r="C56" s="138"/>
      <c r="D56" s="144"/>
      <c r="E56" s="139"/>
      <c r="F56" s="140"/>
      <c r="G56" s="141"/>
      <c r="H56" s="142"/>
      <c r="I56" s="142"/>
      <c r="J56" s="142"/>
      <c r="K56" s="142"/>
      <c r="L56" s="142"/>
    </row>
    <row r="57" spans="1:12" s="143" customFormat="1" ht="38.25">
      <c r="A57" s="203"/>
      <c r="B57" s="350" t="s">
        <v>262</v>
      </c>
      <c r="C57" s="138"/>
      <c r="D57" s="144"/>
      <c r="E57" s="139"/>
      <c r="F57" s="140"/>
      <c r="G57" s="141"/>
      <c r="H57" s="142"/>
      <c r="I57" s="142"/>
      <c r="J57" s="142"/>
      <c r="K57" s="142"/>
      <c r="L57" s="142"/>
    </row>
    <row r="58" spans="1:12" s="143" customFormat="1" ht="15" customHeight="1">
      <c r="A58" s="203"/>
      <c r="B58" s="348" t="s">
        <v>3</v>
      </c>
      <c r="C58" s="138"/>
      <c r="D58" s="144"/>
      <c r="E58" s="139"/>
      <c r="F58" s="140"/>
      <c r="G58" s="141"/>
      <c r="H58" s="142"/>
      <c r="I58" s="142"/>
      <c r="J58" s="142"/>
      <c r="K58" s="142"/>
      <c r="L58" s="142"/>
    </row>
    <row r="59" spans="1:12" s="143" customFormat="1" ht="127.5">
      <c r="A59" s="203"/>
      <c r="B59" s="443" t="s">
        <v>362</v>
      </c>
      <c r="C59" s="138"/>
      <c r="D59" s="144"/>
      <c r="E59" s="139"/>
      <c r="F59" s="140"/>
      <c r="G59" s="141"/>
      <c r="H59" s="142"/>
      <c r="I59" s="142"/>
      <c r="J59" s="142"/>
      <c r="K59" s="142"/>
      <c r="L59" s="142"/>
    </row>
    <row r="60" spans="1:12" s="143" customFormat="1" ht="67.5" customHeight="1">
      <c r="A60" s="203"/>
      <c r="B60" s="180" t="s">
        <v>263</v>
      </c>
      <c r="C60" s="138"/>
      <c r="D60" s="152"/>
      <c r="E60" s="139"/>
      <c r="F60" s="140"/>
      <c r="G60" s="141"/>
      <c r="H60" s="142"/>
      <c r="I60" s="142"/>
      <c r="J60" s="142"/>
      <c r="K60" s="142"/>
      <c r="L60" s="142"/>
    </row>
    <row r="61" spans="1:12" s="143" customFormat="1" ht="41.25" customHeight="1">
      <c r="A61" s="203"/>
      <c r="B61" s="180" t="s">
        <v>363</v>
      </c>
      <c r="C61" s="138"/>
      <c r="D61" s="144"/>
      <c r="E61" s="139"/>
      <c r="F61" s="140"/>
      <c r="G61" s="141"/>
      <c r="H61" s="142"/>
      <c r="I61" s="142"/>
      <c r="J61" s="142"/>
      <c r="K61" s="142"/>
      <c r="L61" s="142"/>
    </row>
    <row r="62" spans="1:12" s="143" customFormat="1" ht="63.75">
      <c r="A62" s="203"/>
      <c r="B62" s="180" t="s">
        <v>189</v>
      </c>
      <c r="C62" s="138"/>
      <c r="D62" s="144"/>
      <c r="E62" s="139"/>
      <c r="F62" s="140"/>
      <c r="G62" s="141"/>
      <c r="H62" s="142"/>
      <c r="I62" s="142"/>
      <c r="J62" s="142"/>
      <c r="K62" s="142"/>
      <c r="L62" s="142"/>
    </row>
    <row r="63" spans="1:12" s="143" customFormat="1" ht="25.5">
      <c r="A63" s="203"/>
      <c r="B63" s="180" t="s">
        <v>6</v>
      </c>
      <c r="C63" s="138"/>
      <c r="D63" s="144"/>
      <c r="E63" s="139"/>
      <c r="F63" s="140"/>
      <c r="G63" s="141"/>
      <c r="H63" s="142"/>
      <c r="I63" s="142"/>
      <c r="J63" s="142"/>
      <c r="K63" s="142"/>
      <c r="L63" s="142"/>
    </row>
    <row r="64" spans="1:12" s="143" customFormat="1" ht="76.5">
      <c r="A64" s="203"/>
      <c r="B64" s="444" t="s">
        <v>1</v>
      </c>
      <c r="C64" s="138"/>
      <c r="D64" s="144"/>
      <c r="E64" s="139"/>
      <c r="F64" s="140"/>
      <c r="G64" s="141"/>
      <c r="H64" s="142"/>
      <c r="I64" s="142"/>
      <c r="J64" s="142"/>
      <c r="K64" s="142"/>
      <c r="L64" s="142"/>
    </row>
    <row r="65" spans="1:12" s="143" customFormat="1" ht="38.25">
      <c r="A65" s="203"/>
      <c r="B65" s="443" t="s">
        <v>2</v>
      </c>
      <c r="C65" s="138"/>
      <c r="D65" s="144"/>
      <c r="E65" s="139"/>
      <c r="F65" s="140"/>
      <c r="G65" s="141"/>
      <c r="H65" s="142"/>
      <c r="I65" s="142"/>
      <c r="J65" s="142"/>
      <c r="K65" s="142"/>
      <c r="L65" s="142"/>
    </row>
    <row r="66" spans="1:12" s="151" customFormat="1" ht="25.5">
      <c r="A66" s="185" t="s">
        <v>364</v>
      </c>
      <c r="B66" s="350" t="s">
        <v>264</v>
      </c>
      <c r="C66" s="145"/>
      <c r="D66" s="146"/>
      <c r="E66" s="147"/>
      <c r="F66" s="148"/>
      <c r="G66" s="149"/>
      <c r="H66" s="150"/>
      <c r="I66" s="150"/>
      <c r="J66" s="150"/>
      <c r="K66" s="150"/>
      <c r="L66" s="150"/>
    </row>
    <row r="67" spans="1:12" s="151" customFormat="1">
      <c r="A67" s="203"/>
      <c r="B67" s="350" t="s">
        <v>743</v>
      </c>
      <c r="C67" s="145"/>
      <c r="D67" s="146"/>
      <c r="E67" s="147"/>
      <c r="F67" s="148"/>
      <c r="G67" s="149"/>
      <c r="H67" s="150"/>
      <c r="I67" s="150"/>
      <c r="J67" s="150"/>
      <c r="K67" s="150"/>
      <c r="L67" s="150"/>
    </row>
    <row r="68" spans="1:12" s="151" customFormat="1" ht="28.5" customHeight="1">
      <c r="A68" s="185" t="s">
        <v>337</v>
      </c>
      <c r="B68" s="350" t="s">
        <v>265</v>
      </c>
      <c r="C68" s="145"/>
      <c r="D68" s="146"/>
      <c r="E68" s="147"/>
      <c r="F68" s="148"/>
      <c r="G68" s="149"/>
      <c r="H68" s="150"/>
      <c r="I68" s="150"/>
      <c r="J68" s="150"/>
      <c r="K68" s="150"/>
      <c r="L68" s="150"/>
    </row>
    <row r="69" spans="1:12" s="151" customFormat="1" ht="38.25">
      <c r="A69" s="203"/>
      <c r="B69" s="350" t="s">
        <v>266</v>
      </c>
      <c r="C69" s="145"/>
      <c r="D69" s="146"/>
      <c r="E69" s="147"/>
      <c r="F69" s="148"/>
      <c r="G69" s="149"/>
      <c r="H69" s="150"/>
      <c r="I69" s="150"/>
      <c r="J69" s="150"/>
      <c r="K69" s="150"/>
      <c r="L69" s="150"/>
    </row>
    <row r="70" spans="1:12" s="151" customFormat="1" ht="14.25" customHeight="1">
      <c r="A70" s="203"/>
      <c r="B70" s="350" t="s">
        <v>267</v>
      </c>
      <c r="C70" s="145"/>
      <c r="D70" s="146"/>
      <c r="E70" s="147"/>
      <c r="F70" s="148"/>
      <c r="G70" s="149"/>
      <c r="H70" s="150"/>
      <c r="I70" s="150"/>
      <c r="J70" s="150"/>
      <c r="K70" s="150"/>
      <c r="L70" s="150"/>
    </row>
    <row r="71" spans="1:12" s="151" customFormat="1" ht="38.25">
      <c r="A71" s="203"/>
      <c r="B71" s="350" t="s">
        <v>268</v>
      </c>
      <c r="C71" s="145"/>
      <c r="D71" s="146"/>
      <c r="E71" s="147"/>
      <c r="F71" s="148"/>
      <c r="G71" s="149"/>
      <c r="H71" s="150"/>
      <c r="I71" s="150"/>
      <c r="J71" s="150"/>
      <c r="K71" s="150"/>
      <c r="L71" s="150"/>
    </row>
    <row r="72" spans="1:12" s="151" customFormat="1" ht="57" customHeight="1">
      <c r="A72" s="203"/>
      <c r="B72" s="350" t="s">
        <v>819</v>
      </c>
      <c r="C72" s="145"/>
      <c r="D72" s="146"/>
      <c r="E72" s="147"/>
      <c r="F72" s="148"/>
      <c r="G72" s="149"/>
      <c r="H72" s="150"/>
      <c r="I72" s="150"/>
      <c r="J72" s="150"/>
      <c r="K72" s="150"/>
      <c r="L72" s="150"/>
    </row>
    <row r="73" spans="1:12" s="151" customFormat="1" ht="43.5" customHeight="1">
      <c r="A73" s="203"/>
      <c r="B73" s="350" t="s">
        <v>269</v>
      </c>
      <c r="C73" s="145"/>
      <c r="D73" s="146"/>
      <c r="E73" s="147"/>
      <c r="F73" s="148"/>
      <c r="G73" s="149"/>
      <c r="H73" s="150"/>
      <c r="I73" s="150"/>
      <c r="J73" s="150"/>
      <c r="K73" s="150"/>
      <c r="L73" s="150"/>
    </row>
    <row r="74" spans="1:12" s="151" customFormat="1" ht="51">
      <c r="A74" s="203"/>
      <c r="B74" s="350" t="s">
        <v>270</v>
      </c>
      <c r="C74" s="145"/>
      <c r="D74" s="146"/>
      <c r="E74" s="147"/>
      <c r="F74" s="148"/>
      <c r="G74" s="149"/>
      <c r="H74" s="150"/>
      <c r="I74" s="150"/>
      <c r="J74" s="150"/>
      <c r="K74" s="150"/>
      <c r="L74" s="150"/>
    </row>
    <row r="75" spans="1:12" s="151" customFormat="1" ht="41.25" customHeight="1">
      <c r="A75" s="203"/>
      <c r="B75" s="350" t="s">
        <v>744</v>
      </c>
      <c r="C75" s="145"/>
      <c r="D75" s="146"/>
      <c r="E75" s="147"/>
      <c r="F75" s="148"/>
      <c r="G75" s="149"/>
      <c r="H75" s="150"/>
      <c r="I75" s="150"/>
      <c r="J75" s="150"/>
      <c r="K75" s="150"/>
      <c r="L75" s="150"/>
    </row>
    <row r="76" spans="1:12" s="151" customFormat="1" ht="27.95" customHeight="1">
      <c r="A76" s="203"/>
      <c r="B76" s="350" t="s">
        <v>365</v>
      </c>
      <c r="C76" s="145"/>
      <c r="D76" s="146"/>
      <c r="E76" s="147"/>
      <c r="F76" s="148"/>
      <c r="G76" s="149"/>
      <c r="H76" s="150"/>
      <c r="I76" s="150"/>
      <c r="J76" s="150"/>
      <c r="K76" s="150"/>
      <c r="L76" s="150"/>
    </row>
    <row r="77" spans="1:12" s="151" customFormat="1" ht="76.5">
      <c r="A77" s="203"/>
      <c r="B77" s="350" t="s">
        <v>190</v>
      </c>
      <c r="C77" s="145"/>
      <c r="D77" s="146"/>
      <c r="E77" s="147"/>
      <c r="F77" s="148"/>
      <c r="G77" s="149"/>
      <c r="H77" s="150"/>
      <c r="I77" s="150"/>
      <c r="J77" s="150"/>
      <c r="K77" s="150"/>
      <c r="L77" s="150"/>
    </row>
    <row r="78" spans="1:12" s="151" customFormat="1" ht="15" customHeight="1">
      <c r="A78" s="203"/>
      <c r="B78" s="350" t="s">
        <v>108</v>
      </c>
      <c r="C78" s="145"/>
      <c r="D78" s="146"/>
      <c r="E78" s="147"/>
      <c r="F78" s="148"/>
      <c r="G78" s="149"/>
      <c r="H78" s="150"/>
      <c r="I78" s="150"/>
      <c r="J78" s="150"/>
      <c r="K78" s="150"/>
      <c r="L78" s="150"/>
    </row>
  </sheetData>
  <phoneticPr fontId="53" type="noConversion"/>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F80"/>
  <sheetViews>
    <sheetView showZeros="0" view="pageBreakPreview" topLeftCell="A7" zoomScale="115" zoomScaleNormal="100" zoomScaleSheetLayoutView="115" workbookViewId="0">
      <selection activeCell="B16" sqref="B16"/>
    </sheetView>
  </sheetViews>
  <sheetFormatPr defaultColWidth="9.140625" defaultRowHeight="12.75"/>
  <cols>
    <col min="1" max="1" width="6" style="158" bestFit="1" customWidth="1"/>
    <col min="2" max="2" width="52.7109375" style="158" customWidth="1"/>
    <col min="3" max="3" width="6.140625" style="156" customWidth="1"/>
    <col min="4" max="4" width="9.140625" style="157"/>
    <col min="5" max="6" width="9.140625" style="156" collapsed="1"/>
    <col min="7" max="105" width="9.140625" style="109" collapsed="1"/>
    <col min="106" max="110" width="9.140625" style="109"/>
    <col min="111" max="16384" width="9.140625" style="109" collapsed="1"/>
  </cols>
  <sheetData>
    <row r="1" spans="1:6" ht="15.75">
      <c r="A1" s="155" t="s">
        <v>148</v>
      </c>
      <c r="B1" s="155" t="s">
        <v>655</v>
      </c>
    </row>
    <row r="2" spans="1:6">
      <c r="E2" s="159"/>
      <c r="F2" s="159"/>
    </row>
    <row r="3" spans="1:6">
      <c r="A3" s="160" t="s">
        <v>165</v>
      </c>
      <c r="B3" s="161" t="s">
        <v>307</v>
      </c>
      <c r="C3" s="162"/>
      <c r="D3" s="163"/>
      <c r="E3" s="159"/>
      <c r="F3" s="159"/>
    </row>
    <row r="4" spans="1:6">
      <c r="A4" s="164"/>
      <c r="B4" s="164"/>
      <c r="C4" s="165"/>
      <c r="D4" s="166"/>
      <c r="E4" s="159"/>
      <c r="F4" s="159"/>
    </row>
    <row r="5" spans="1:6" ht="25.5">
      <c r="A5" s="167" t="s">
        <v>173</v>
      </c>
      <c r="B5" s="168" t="s">
        <v>174</v>
      </c>
      <c r="C5" s="169" t="s">
        <v>175</v>
      </c>
      <c r="D5" s="163" t="s">
        <v>176</v>
      </c>
      <c r="E5" s="170" t="s">
        <v>302</v>
      </c>
      <c r="F5" s="159" t="s">
        <v>303</v>
      </c>
    </row>
    <row r="6" spans="1:6">
      <c r="A6" s="171"/>
      <c r="B6" s="172"/>
    </row>
    <row r="7" spans="1:6">
      <c r="B7" s="466" t="s">
        <v>369</v>
      </c>
      <c r="C7" s="466"/>
      <c r="D7" s="466"/>
      <c r="E7" s="466"/>
      <c r="F7" s="157"/>
    </row>
    <row r="8" spans="1:6" ht="25.5">
      <c r="B8" s="173" t="s">
        <v>818</v>
      </c>
      <c r="C8" s="346"/>
      <c r="D8" s="346"/>
      <c r="E8" s="346"/>
      <c r="F8" s="157"/>
    </row>
    <row r="9" spans="1:6">
      <c r="B9" s="174"/>
      <c r="C9" s="175"/>
      <c r="D9" s="176"/>
      <c r="E9" s="157"/>
      <c r="F9" s="157"/>
    </row>
    <row r="10" spans="1:6">
      <c r="B10" s="177" t="s">
        <v>308</v>
      </c>
      <c r="C10" s="175"/>
      <c r="D10" s="176"/>
      <c r="E10" s="157"/>
      <c r="F10" s="157"/>
    </row>
    <row r="11" spans="1:6">
      <c r="E11" s="157"/>
      <c r="F11" s="157"/>
    </row>
    <row r="12" spans="1:6" ht="51">
      <c r="A12" s="350" t="s">
        <v>179</v>
      </c>
      <c r="B12" s="350" t="s">
        <v>370</v>
      </c>
      <c r="C12" s="156" t="s">
        <v>180</v>
      </c>
      <c r="D12" s="157">
        <v>1</v>
      </c>
      <c r="E12" s="157"/>
      <c r="F12" s="178">
        <f>E12*D12</f>
        <v>0</v>
      </c>
    </row>
    <row r="13" spans="1:6">
      <c r="A13" s="171"/>
      <c r="B13" s="350"/>
      <c r="E13" s="157"/>
      <c r="F13" s="178"/>
    </row>
    <row r="14" spans="1:6" ht="89.25">
      <c r="A14" s="350" t="s">
        <v>181</v>
      </c>
      <c r="B14" s="179" t="s">
        <v>371</v>
      </c>
      <c r="C14" s="176" t="s">
        <v>180</v>
      </c>
      <c r="D14" s="178">
        <v>1</v>
      </c>
      <c r="E14" s="178"/>
      <c r="F14" s="178">
        <f>E14*D14</f>
        <v>0</v>
      </c>
    </row>
    <row r="15" spans="1:6">
      <c r="A15" s="171"/>
      <c r="B15" s="180"/>
      <c r="E15" s="157"/>
      <c r="F15" s="178"/>
    </row>
    <row r="16" spans="1:6" ht="127.5">
      <c r="A16" s="350" t="s">
        <v>109</v>
      </c>
      <c r="B16" s="347" t="s">
        <v>832</v>
      </c>
      <c r="C16" s="181" t="s">
        <v>106</v>
      </c>
      <c r="D16" s="182">
        <v>1</v>
      </c>
      <c r="E16" s="182"/>
      <c r="F16" s="178">
        <f>E16*D16</f>
        <v>0</v>
      </c>
    </row>
    <row r="17" spans="1:6">
      <c r="A17" s="350"/>
      <c r="B17" s="183"/>
      <c r="C17" s="181"/>
      <c r="D17" s="182"/>
      <c r="E17" s="182"/>
      <c r="F17" s="178"/>
    </row>
    <row r="18" spans="1:6" ht="108.75" customHeight="1">
      <c r="A18" s="171" t="s">
        <v>110</v>
      </c>
      <c r="B18" s="350" t="s">
        <v>372</v>
      </c>
      <c r="C18" s="156" t="s">
        <v>180</v>
      </c>
      <c r="D18" s="157">
        <v>1</v>
      </c>
      <c r="E18" s="157"/>
      <c r="F18" s="440">
        <f>E18*D18</f>
        <v>0</v>
      </c>
    </row>
    <row r="19" spans="1:6">
      <c r="B19" s="350" t="s">
        <v>304</v>
      </c>
      <c r="D19" s="156"/>
      <c r="F19" s="157"/>
    </row>
    <row r="20" spans="1:6" ht="25.5">
      <c r="B20" s="184" t="s">
        <v>373</v>
      </c>
      <c r="D20" s="156"/>
      <c r="F20" s="157"/>
    </row>
    <row r="21" spans="1:6" ht="81" customHeight="1">
      <c r="B21" s="469" t="s">
        <v>374</v>
      </c>
      <c r="C21" s="469"/>
      <c r="D21" s="469"/>
      <c r="E21" s="469"/>
      <c r="F21" s="157"/>
    </row>
    <row r="22" spans="1:6" ht="44.45" customHeight="1">
      <c r="B22" s="468" t="s">
        <v>375</v>
      </c>
      <c r="C22" s="468"/>
      <c r="D22" s="468"/>
      <c r="E22" s="468"/>
      <c r="F22" s="157"/>
    </row>
    <row r="23" spans="1:6" ht="54" customHeight="1">
      <c r="B23" s="468" t="s">
        <v>376</v>
      </c>
      <c r="C23" s="468"/>
      <c r="D23" s="468"/>
      <c r="E23" s="468"/>
      <c r="F23" s="157"/>
    </row>
    <row r="24" spans="1:6" ht="42" customHeight="1">
      <c r="A24" s="350"/>
      <c r="B24" s="468" t="s">
        <v>377</v>
      </c>
      <c r="C24" s="468"/>
      <c r="D24" s="468"/>
      <c r="E24" s="468"/>
      <c r="F24" s="178"/>
    </row>
    <row r="25" spans="1:6" ht="42.6" customHeight="1">
      <c r="A25" s="350"/>
      <c r="B25" s="463" t="s">
        <v>378</v>
      </c>
      <c r="C25" s="463"/>
      <c r="D25" s="463"/>
      <c r="E25" s="463"/>
      <c r="F25" s="178"/>
    </row>
    <row r="26" spans="1:6" ht="277.5" customHeight="1">
      <c r="A26" s="350"/>
      <c r="B26" s="463" t="s">
        <v>366</v>
      </c>
      <c r="C26" s="463"/>
      <c r="D26" s="463"/>
      <c r="E26" s="463"/>
      <c r="F26" s="178"/>
    </row>
    <row r="27" spans="1:6" ht="150.6" customHeight="1">
      <c r="A27" s="350"/>
      <c r="B27" s="463" t="s">
        <v>309</v>
      </c>
      <c r="C27" s="463"/>
      <c r="D27" s="463"/>
      <c r="E27" s="463"/>
      <c r="F27" s="178"/>
    </row>
    <row r="28" spans="1:6" ht="148.15" customHeight="1">
      <c r="A28" s="350"/>
      <c r="B28" s="467" t="s">
        <v>310</v>
      </c>
      <c r="C28" s="467"/>
      <c r="D28" s="467"/>
      <c r="E28" s="467"/>
      <c r="F28" s="178"/>
    </row>
    <row r="29" spans="1:6" ht="42.6" customHeight="1">
      <c r="A29" s="350"/>
      <c r="B29" s="468" t="s">
        <v>379</v>
      </c>
      <c r="C29" s="468"/>
      <c r="D29" s="468"/>
      <c r="E29" s="468"/>
      <c r="F29" s="178"/>
    </row>
    <row r="30" spans="1:6" ht="82.5" customHeight="1">
      <c r="A30" s="350"/>
      <c r="B30" s="463" t="s">
        <v>338</v>
      </c>
      <c r="C30" s="463"/>
      <c r="D30" s="463"/>
      <c r="E30" s="463"/>
      <c r="F30" s="178"/>
    </row>
    <row r="31" spans="1:6" ht="66" customHeight="1">
      <c r="A31" s="350"/>
      <c r="B31" s="463" t="s">
        <v>311</v>
      </c>
      <c r="C31" s="463"/>
      <c r="D31" s="463"/>
      <c r="E31" s="463"/>
      <c r="F31" s="178"/>
    </row>
    <row r="32" spans="1:6">
      <c r="A32" s="350"/>
      <c r="B32" s="185" t="s">
        <v>305</v>
      </c>
      <c r="C32" s="176"/>
      <c r="D32" s="176"/>
      <c r="E32" s="176"/>
      <c r="F32" s="178"/>
    </row>
    <row r="33" spans="1:105" ht="31.9" customHeight="1">
      <c r="A33" s="350"/>
      <c r="B33" s="468" t="s">
        <v>380</v>
      </c>
      <c r="C33" s="468"/>
      <c r="D33" s="468"/>
      <c r="E33" s="468"/>
      <c r="F33" s="178"/>
    </row>
    <row r="34" spans="1:105" ht="84.6" customHeight="1">
      <c r="A34" s="350"/>
      <c r="B34" s="468" t="s">
        <v>312</v>
      </c>
      <c r="C34" s="468"/>
      <c r="D34" s="468"/>
      <c r="E34" s="468"/>
      <c r="F34" s="178"/>
    </row>
    <row r="35" spans="1:105" ht="47.45" customHeight="1">
      <c r="A35" s="350"/>
      <c r="B35" s="463" t="s">
        <v>381</v>
      </c>
      <c r="C35" s="463"/>
      <c r="D35" s="463"/>
      <c r="E35" s="463"/>
      <c r="F35" s="178"/>
    </row>
    <row r="36" spans="1:105">
      <c r="A36" s="171"/>
      <c r="B36" s="180"/>
      <c r="E36" s="157"/>
      <c r="F36" s="157"/>
    </row>
    <row r="37" spans="1:105" s="128" customFormat="1" ht="58.9" customHeight="1">
      <c r="A37" s="186" t="s">
        <v>111</v>
      </c>
      <c r="B37" s="465" t="s">
        <v>382</v>
      </c>
      <c r="C37" s="464"/>
      <c r="D37" s="464"/>
      <c r="E37" s="187"/>
      <c r="F37" s="187"/>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row>
    <row r="38" spans="1:105" s="126" customFormat="1" ht="18" customHeight="1">
      <c r="A38" s="186"/>
      <c r="B38" s="464" t="s">
        <v>367</v>
      </c>
      <c r="C38" s="464"/>
      <c r="D38" s="464"/>
      <c r="E38" s="187"/>
      <c r="F38" s="18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c r="BO38" s="127"/>
      <c r="BP38" s="127"/>
      <c r="BQ38" s="127"/>
      <c r="BR38" s="127"/>
      <c r="BS38" s="127"/>
      <c r="BT38" s="127"/>
      <c r="BU38" s="127"/>
      <c r="BV38" s="127"/>
      <c r="BW38" s="127"/>
      <c r="BX38" s="127"/>
      <c r="BY38" s="127"/>
      <c r="BZ38" s="127"/>
      <c r="CA38" s="127"/>
      <c r="CB38" s="127"/>
      <c r="CC38" s="127"/>
      <c r="CD38" s="127"/>
      <c r="CE38" s="127"/>
      <c r="CF38" s="127"/>
      <c r="CG38" s="127"/>
      <c r="CH38" s="127"/>
      <c r="CI38" s="127"/>
      <c r="CJ38" s="127"/>
      <c r="CK38" s="127"/>
      <c r="CL38" s="127"/>
      <c r="CM38" s="127"/>
      <c r="CN38" s="127"/>
      <c r="CO38" s="127"/>
      <c r="CP38" s="127"/>
      <c r="CQ38" s="127"/>
      <c r="CR38" s="127"/>
      <c r="CS38" s="127"/>
      <c r="CT38" s="127"/>
      <c r="CU38" s="127"/>
      <c r="CV38" s="127"/>
      <c r="CW38" s="127"/>
      <c r="CX38" s="127"/>
      <c r="CY38" s="127"/>
      <c r="CZ38" s="127"/>
      <c r="DA38" s="127"/>
    </row>
    <row r="39" spans="1:105" s="126" customFormat="1">
      <c r="A39" s="186"/>
      <c r="B39" s="188" t="s">
        <v>59</v>
      </c>
      <c r="C39" s="189"/>
      <c r="D39" s="189"/>
      <c r="E39" s="187"/>
      <c r="F39" s="18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c r="BO39" s="127"/>
      <c r="BP39" s="127"/>
      <c r="BQ39" s="127"/>
      <c r="BR39" s="127"/>
      <c r="BS39" s="127"/>
      <c r="BT39" s="127"/>
      <c r="BU39" s="127"/>
      <c r="BV39" s="127"/>
      <c r="BW39" s="127"/>
      <c r="BX39" s="127"/>
      <c r="BY39" s="127"/>
      <c r="BZ39" s="127"/>
      <c r="CA39" s="127"/>
      <c r="CB39" s="127"/>
      <c r="CC39" s="127"/>
      <c r="CD39" s="127"/>
      <c r="CE39" s="127"/>
      <c r="CF39" s="127"/>
      <c r="CG39" s="127"/>
      <c r="CH39" s="127"/>
      <c r="CI39" s="127"/>
      <c r="CJ39" s="127"/>
      <c r="CK39" s="127"/>
      <c r="CL39" s="127"/>
      <c r="CM39" s="127"/>
      <c r="CN39" s="127"/>
      <c r="CO39" s="127"/>
      <c r="CP39" s="127"/>
      <c r="CQ39" s="127"/>
      <c r="CR39" s="127"/>
      <c r="CS39" s="127"/>
      <c r="CT39" s="127"/>
      <c r="CU39" s="127"/>
      <c r="CV39" s="127"/>
      <c r="CW39" s="127"/>
      <c r="CX39" s="127"/>
      <c r="CY39" s="127"/>
      <c r="CZ39" s="127"/>
      <c r="DA39" s="127"/>
    </row>
    <row r="40" spans="1:105" s="126" customFormat="1">
      <c r="A40" s="186"/>
      <c r="B40" s="188" t="s">
        <v>339</v>
      </c>
      <c r="C40" s="190" t="s">
        <v>180</v>
      </c>
      <c r="D40" s="191">
        <v>1</v>
      </c>
      <c r="E40" s="187"/>
      <c r="F40" s="178">
        <f>E40*D40</f>
        <v>0</v>
      </c>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c r="BO40" s="127"/>
      <c r="BP40" s="127"/>
      <c r="BQ40" s="127"/>
      <c r="BR40" s="127"/>
      <c r="BS40" s="127"/>
      <c r="BT40" s="127"/>
      <c r="BU40" s="127"/>
      <c r="BV40" s="127"/>
      <c r="BW40" s="127"/>
      <c r="BX40" s="127"/>
      <c r="BY40" s="127"/>
      <c r="BZ40" s="127"/>
      <c r="CA40" s="127"/>
      <c r="CB40" s="127"/>
      <c r="CC40" s="127"/>
      <c r="CD40" s="127"/>
      <c r="CE40" s="127"/>
      <c r="CF40" s="127"/>
      <c r="CG40" s="127"/>
      <c r="CH40" s="127"/>
      <c r="CI40" s="127"/>
      <c r="CJ40" s="127"/>
      <c r="CK40" s="127"/>
      <c r="CL40" s="127"/>
      <c r="CM40" s="127"/>
      <c r="CN40" s="127"/>
      <c r="CO40" s="127"/>
      <c r="CP40" s="127"/>
      <c r="CQ40" s="127"/>
      <c r="CR40" s="127"/>
      <c r="CS40" s="127"/>
      <c r="CT40" s="127"/>
      <c r="CU40" s="127"/>
      <c r="CV40" s="127"/>
      <c r="CW40" s="127"/>
      <c r="CX40" s="127"/>
      <c r="CY40" s="127"/>
      <c r="CZ40" s="127"/>
      <c r="DA40" s="127"/>
    </row>
    <row r="41" spans="1:105">
      <c r="A41" s="171"/>
      <c r="B41" s="180"/>
      <c r="C41" s="157"/>
      <c r="E41" s="157"/>
      <c r="F41" s="157"/>
    </row>
    <row r="42" spans="1:105" ht="38.25">
      <c r="A42" s="171" t="s">
        <v>112</v>
      </c>
      <c r="B42" s="192" t="s">
        <v>820</v>
      </c>
      <c r="C42" s="190" t="s">
        <v>180</v>
      </c>
      <c r="D42" s="191">
        <v>1</v>
      </c>
      <c r="E42" s="187"/>
      <c r="F42" s="178">
        <f>E42*D42</f>
        <v>0</v>
      </c>
    </row>
    <row r="43" spans="1:105">
      <c r="A43" s="171"/>
      <c r="B43" s="180"/>
      <c r="C43" s="157"/>
      <c r="E43" s="157"/>
      <c r="F43" s="157"/>
    </row>
    <row r="44" spans="1:105" ht="63.75">
      <c r="A44" s="193" t="s">
        <v>113</v>
      </c>
      <c r="B44" s="194" t="s">
        <v>383</v>
      </c>
      <c r="C44" s="156" t="s">
        <v>180</v>
      </c>
      <c r="D44" s="157">
        <v>1</v>
      </c>
      <c r="E44" s="157"/>
      <c r="F44" s="178">
        <f>E44*D44</f>
        <v>0</v>
      </c>
    </row>
    <row r="45" spans="1:105">
      <c r="A45" s="171"/>
      <c r="B45" s="195"/>
      <c r="C45" s="157"/>
      <c r="E45" s="157"/>
      <c r="F45" s="178"/>
    </row>
    <row r="46" spans="1:105">
      <c r="A46" s="171"/>
      <c r="B46" s="196" t="s">
        <v>368</v>
      </c>
      <c r="C46" s="157"/>
      <c r="E46" s="157"/>
      <c r="F46" s="178"/>
    </row>
    <row r="47" spans="1:105">
      <c r="A47" s="171"/>
      <c r="B47" s="195"/>
      <c r="C47" s="157"/>
      <c r="E47" s="157"/>
      <c r="F47" s="178"/>
    </row>
    <row r="48" spans="1:105" ht="25.5">
      <c r="A48" s="171"/>
      <c r="B48" s="197" t="s">
        <v>652</v>
      </c>
      <c r="C48" s="157"/>
      <c r="E48" s="157"/>
      <c r="F48" s="178"/>
    </row>
    <row r="49" spans="1:6" ht="93" customHeight="1">
      <c r="A49" s="171" t="s">
        <v>114</v>
      </c>
      <c r="B49" s="197" t="s">
        <v>384</v>
      </c>
      <c r="C49" s="157" t="s">
        <v>180</v>
      </c>
      <c r="D49" s="157">
        <v>1</v>
      </c>
      <c r="E49" s="157"/>
      <c r="F49" s="178">
        <f>E49*D49</f>
        <v>0</v>
      </c>
    </row>
    <row r="50" spans="1:6">
      <c r="A50" s="171"/>
      <c r="B50" s="197"/>
      <c r="C50" s="157"/>
      <c r="E50" s="157"/>
      <c r="F50" s="178"/>
    </row>
    <row r="51" spans="1:6" ht="165.75">
      <c r="A51" s="171" t="s">
        <v>115</v>
      </c>
      <c r="B51" s="197" t="s">
        <v>387</v>
      </c>
      <c r="C51" s="157" t="s">
        <v>180</v>
      </c>
      <c r="D51" s="157">
        <v>1</v>
      </c>
      <c r="E51" s="157"/>
      <c r="F51" s="178">
        <f>E51*D51</f>
        <v>0</v>
      </c>
    </row>
    <row r="52" spans="1:6">
      <c r="A52" s="171"/>
      <c r="B52" s="197"/>
      <c r="C52" s="157"/>
      <c r="E52" s="157"/>
      <c r="F52" s="178"/>
    </row>
    <row r="53" spans="1:6" ht="63.75">
      <c r="A53" s="171"/>
      <c r="B53" s="198" t="s">
        <v>394</v>
      </c>
      <c r="C53" s="157"/>
      <c r="E53" s="157"/>
      <c r="F53" s="178"/>
    </row>
    <row r="54" spans="1:6">
      <c r="A54" s="171"/>
      <c r="B54" s="197"/>
      <c r="C54" s="157"/>
      <c r="E54" s="157"/>
      <c r="F54" s="178"/>
    </row>
    <row r="55" spans="1:6" ht="38.25">
      <c r="A55" s="171" t="s">
        <v>116</v>
      </c>
      <c r="B55" s="197" t="s">
        <v>393</v>
      </c>
      <c r="C55" s="157" t="s">
        <v>107</v>
      </c>
      <c r="D55" s="157">
        <f>35.34+7.22+13.03+4.38+13.65+5.25+3.98+5.07+12.17+11.26</f>
        <v>111.35000000000002</v>
      </c>
      <c r="E55" s="157"/>
      <c r="F55" s="178">
        <f>E55*D55</f>
        <v>0</v>
      </c>
    </row>
    <row r="56" spans="1:6">
      <c r="A56" s="171"/>
      <c r="B56" s="195"/>
      <c r="C56" s="157"/>
      <c r="E56" s="157"/>
      <c r="F56" s="178"/>
    </row>
    <row r="57" spans="1:6">
      <c r="A57" s="171"/>
      <c r="B57" s="195" t="s">
        <v>385</v>
      </c>
      <c r="C57" s="157"/>
      <c r="E57" s="157"/>
      <c r="F57" s="178"/>
    </row>
    <row r="58" spans="1:6" ht="25.5">
      <c r="A58" s="171" t="s">
        <v>117</v>
      </c>
      <c r="B58" s="195" t="s">
        <v>386</v>
      </c>
      <c r="C58" s="157" t="s">
        <v>106</v>
      </c>
      <c r="D58" s="157">
        <v>1</v>
      </c>
      <c r="E58" s="157"/>
      <c r="F58" s="178">
        <f>E58*D58</f>
        <v>0</v>
      </c>
    </row>
    <row r="59" spans="1:6">
      <c r="A59" s="171"/>
      <c r="B59" s="195"/>
      <c r="C59" s="157"/>
      <c r="E59" s="157"/>
      <c r="F59" s="178"/>
    </row>
    <row r="60" spans="1:6" ht="38.25">
      <c r="A60" s="171" t="s">
        <v>118</v>
      </c>
      <c r="B60" s="195" t="s">
        <v>388</v>
      </c>
      <c r="C60" s="157" t="s">
        <v>104</v>
      </c>
      <c r="D60" s="157">
        <v>21.22</v>
      </c>
      <c r="E60" s="157"/>
      <c r="F60" s="178">
        <f>E60*D60</f>
        <v>0</v>
      </c>
    </row>
    <row r="61" spans="1:6">
      <c r="A61" s="171"/>
      <c r="B61" s="199"/>
      <c r="C61" s="157"/>
      <c r="E61" s="157"/>
      <c r="F61" s="178"/>
    </row>
    <row r="62" spans="1:6">
      <c r="A62" s="171"/>
      <c r="B62" s="195" t="s">
        <v>390</v>
      </c>
      <c r="C62" s="157"/>
      <c r="E62" s="157"/>
      <c r="F62" s="178"/>
    </row>
    <row r="63" spans="1:6" ht="63.75">
      <c r="A63" s="171" t="s">
        <v>119</v>
      </c>
      <c r="B63" s="199" t="s">
        <v>403</v>
      </c>
      <c r="C63" s="157" t="s">
        <v>106</v>
      </c>
      <c r="D63" s="157">
        <v>7</v>
      </c>
      <c r="E63" s="157"/>
      <c r="F63" s="178">
        <f>E63*D63</f>
        <v>0</v>
      </c>
    </row>
    <row r="64" spans="1:6">
      <c r="A64" s="171" t="s">
        <v>120</v>
      </c>
      <c r="B64" s="199" t="s">
        <v>391</v>
      </c>
      <c r="C64" s="157" t="s">
        <v>106</v>
      </c>
      <c r="D64" s="157">
        <v>2</v>
      </c>
      <c r="E64" s="157"/>
      <c r="F64" s="178">
        <f>E64*D64</f>
        <v>0</v>
      </c>
    </row>
    <row r="65" spans="1:6" ht="38.25">
      <c r="A65" s="171" t="s">
        <v>122</v>
      </c>
      <c r="B65" s="199" t="s">
        <v>392</v>
      </c>
      <c r="C65" s="157" t="s">
        <v>104</v>
      </c>
      <c r="D65" s="157">
        <v>84.41</v>
      </c>
      <c r="E65" s="157"/>
      <c r="F65" s="178">
        <f>E65*D65</f>
        <v>0</v>
      </c>
    </row>
    <row r="66" spans="1:6">
      <c r="A66" s="171"/>
      <c r="B66" s="199"/>
      <c r="C66" s="157"/>
      <c r="E66" s="157"/>
      <c r="F66" s="178"/>
    </row>
    <row r="67" spans="1:6" ht="114.75">
      <c r="A67" s="171" t="s">
        <v>123</v>
      </c>
      <c r="B67" s="199" t="s">
        <v>650</v>
      </c>
      <c r="C67" s="157"/>
      <c r="E67" s="157"/>
      <c r="F67" s="178"/>
    </row>
    <row r="68" spans="1:6" ht="25.5">
      <c r="A68" s="193" t="s">
        <v>664</v>
      </c>
      <c r="B68" s="199" t="s">
        <v>389</v>
      </c>
      <c r="C68" s="157" t="s">
        <v>107</v>
      </c>
      <c r="D68" s="157">
        <f>23.88+9.74+4.95+8.1</f>
        <v>46.67</v>
      </c>
      <c r="E68" s="157"/>
      <c r="F68" s="178">
        <f>E68*D68</f>
        <v>0</v>
      </c>
    </row>
    <row r="69" spans="1:6">
      <c r="A69" s="171"/>
      <c r="B69" s="199"/>
      <c r="C69" s="157"/>
      <c r="E69" s="157"/>
      <c r="F69" s="178"/>
    </row>
    <row r="70" spans="1:6" ht="51">
      <c r="A70" s="171" t="s">
        <v>665</v>
      </c>
      <c r="B70" s="199" t="s">
        <v>782</v>
      </c>
      <c r="C70" s="157" t="s">
        <v>107</v>
      </c>
      <c r="D70" s="157">
        <f>1.18+2.39</f>
        <v>3.5700000000000003</v>
      </c>
      <c r="E70" s="157"/>
      <c r="F70" s="178">
        <f>E70*D70</f>
        <v>0</v>
      </c>
    </row>
    <row r="71" spans="1:6">
      <c r="A71" s="171"/>
      <c r="B71" s="199"/>
      <c r="C71" s="157"/>
      <c r="E71" s="157"/>
      <c r="F71" s="178"/>
    </row>
    <row r="72" spans="1:6" ht="38.25">
      <c r="A72" s="171" t="s">
        <v>667</v>
      </c>
      <c r="B72" s="199" t="s">
        <v>783</v>
      </c>
      <c r="C72" s="157" t="s">
        <v>180</v>
      </c>
      <c r="D72" s="157">
        <v>1</v>
      </c>
      <c r="E72" s="157"/>
      <c r="F72" s="178">
        <f>E72*D72</f>
        <v>0</v>
      </c>
    </row>
    <row r="73" spans="1:6">
      <c r="A73" s="171"/>
      <c r="B73" s="199"/>
      <c r="C73" s="157"/>
      <c r="E73" s="157"/>
      <c r="F73" s="178"/>
    </row>
    <row r="74" spans="1:6" ht="51">
      <c r="A74" s="171" t="s">
        <v>125</v>
      </c>
      <c r="B74" s="199" t="s">
        <v>666</v>
      </c>
      <c r="C74" s="157" t="s">
        <v>106</v>
      </c>
      <c r="D74" s="157">
        <v>1</v>
      </c>
      <c r="E74" s="157"/>
      <c r="F74" s="178">
        <f>E74*D74</f>
        <v>0</v>
      </c>
    </row>
    <row r="75" spans="1:6">
      <c r="A75" s="171"/>
      <c r="B75" s="199"/>
      <c r="C75" s="157"/>
      <c r="E75" s="157"/>
      <c r="F75" s="178"/>
    </row>
    <row r="76" spans="1:6">
      <c r="A76" s="200"/>
      <c r="B76" s="201"/>
      <c r="C76" s="159"/>
      <c r="D76" s="202"/>
      <c r="E76" s="202"/>
      <c r="F76" s="202"/>
    </row>
    <row r="77" spans="1:6">
      <c r="A77" s="171"/>
      <c r="B77" s="203" t="s">
        <v>306</v>
      </c>
      <c r="E77" s="157"/>
      <c r="F77" s="157">
        <f>SUM(F7:F76)</f>
        <v>0</v>
      </c>
    </row>
    <row r="79" spans="1:6">
      <c r="B79" s="204"/>
    </row>
    <row r="80" spans="1:6">
      <c r="B80" s="205"/>
    </row>
  </sheetData>
  <mergeCells count="17">
    <mergeCell ref="B30:E30"/>
    <mergeCell ref="B31:E31"/>
    <mergeCell ref="B38:D38"/>
    <mergeCell ref="B37:D37"/>
    <mergeCell ref="B35:E35"/>
    <mergeCell ref="B7:E7"/>
    <mergeCell ref="B28:E28"/>
    <mergeCell ref="B33:E33"/>
    <mergeCell ref="B34:E34"/>
    <mergeCell ref="B22:E22"/>
    <mergeCell ref="B21:E21"/>
    <mergeCell ref="B24:E24"/>
    <mergeCell ref="B25:E25"/>
    <mergeCell ref="B23:E23"/>
    <mergeCell ref="B29:E29"/>
    <mergeCell ref="B26:E26"/>
    <mergeCell ref="B27:E27"/>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showZeros="0" view="pageBreakPreview" topLeftCell="A67" zoomScale="115" zoomScaleNormal="100" zoomScaleSheetLayoutView="115" workbookViewId="0">
      <selection activeCell="E86" sqref="E86"/>
    </sheetView>
  </sheetViews>
  <sheetFormatPr defaultColWidth="9.140625" defaultRowHeight="12.75"/>
  <cols>
    <col min="1" max="1" width="4.85546875" style="230" customWidth="1"/>
    <col min="2" max="2" width="53" style="233" customWidth="1"/>
    <col min="3" max="3" width="5.7109375" style="254" bestFit="1" customWidth="1"/>
    <col min="4" max="4" width="9.5703125" style="157" customWidth="1"/>
    <col min="5" max="5" width="9.140625" style="223" collapsed="1"/>
    <col min="6" max="6" width="9.140625" style="223"/>
    <col min="7" max="10" width="9.140625" style="109"/>
    <col min="11" max="16384" width="9.140625" style="109" collapsed="1"/>
  </cols>
  <sheetData>
    <row r="1" spans="1:6">
      <c r="A1" s="206" t="s">
        <v>166</v>
      </c>
      <c r="B1" s="207" t="s">
        <v>656</v>
      </c>
      <c r="C1" s="335"/>
      <c r="D1" s="163"/>
      <c r="E1" s="229"/>
      <c r="F1" s="229"/>
    </row>
    <row r="2" spans="1:6">
      <c r="A2" s="211"/>
      <c r="B2" s="212"/>
      <c r="C2" s="336"/>
      <c r="D2" s="166"/>
      <c r="E2" s="209"/>
      <c r="F2" s="209"/>
    </row>
    <row r="3" spans="1:6" ht="25.5">
      <c r="A3" s="215" t="s">
        <v>173</v>
      </c>
      <c r="B3" s="168" t="s">
        <v>174</v>
      </c>
      <c r="C3" s="337" t="s">
        <v>175</v>
      </c>
      <c r="D3" s="328" t="s">
        <v>176</v>
      </c>
      <c r="E3" s="246" t="s">
        <v>302</v>
      </c>
      <c r="F3" s="202" t="s">
        <v>303</v>
      </c>
    </row>
    <row r="4" spans="1:6">
      <c r="A4" s="218"/>
      <c r="B4" s="172"/>
      <c r="D4" s="219"/>
    </row>
    <row r="5" spans="1:6" ht="66.599999999999994" customHeight="1">
      <c r="A5" s="218"/>
      <c r="B5" s="470" t="s">
        <v>646</v>
      </c>
      <c r="C5" s="470"/>
      <c r="D5" s="470"/>
      <c r="E5" s="470"/>
    </row>
    <row r="6" spans="1:6">
      <c r="A6" s="218"/>
      <c r="B6" s="220"/>
      <c r="C6" s="338"/>
      <c r="D6" s="329"/>
    </row>
    <row r="7" spans="1:6" ht="26.25" customHeight="1">
      <c r="A7" s="218"/>
      <c r="B7" s="468" t="s">
        <v>340</v>
      </c>
      <c r="C7" s="468"/>
      <c r="D7" s="468"/>
      <c r="E7" s="468"/>
    </row>
    <row r="8" spans="1:6">
      <c r="A8" s="218"/>
      <c r="B8" s="348"/>
      <c r="C8" s="339"/>
      <c r="D8" s="330"/>
      <c r="E8" s="325"/>
    </row>
    <row r="9" spans="1:6" ht="38.25">
      <c r="A9" s="218"/>
      <c r="B9" s="234" t="s">
        <v>584</v>
      </c>
      <c r="C9" s="339"/>
      <c r="D9" s="330"/>
      <c r="E9" s="325"/>
    </row>
    <row r="10" spans="1:6">
      <c r="A10" s="218"/>
      <c r="B10" s="348"/>
      <c r="C10" s="339"/>
      <c r="D10" s="330"/>
      <c r="E10" s="325"/>
    </row>
    <row r="11" spans="1:6" ht="76.5">
      <c r="A11" s="218" t="s">
        <v>179</v>
      </c>
      <c r="B11" s="348" t="s">
        <v>587</v>
      </c>
      <c r="C11" s="339" t="s">
        <v>105</v>
      </c>
      <c r="D11" s="330">
        <f>B12*0.37</f>
        <v>62.9</v>
      </c>
      <c r="E11" s="325"/>
      <c r="F11" s="225">
        <f>E11*D11</f>
        <v>0</v>
      </c>
    </row>
    <row r="12" spans="1:6">
      <c r="A12" s="218"/>
      <c r="B12" s="236">
        <v>170</v>
      </c>
      <c r="C12" s="339"/>
      <c r="D12" s="330"/>
      <c r="E12" s="325"/>
    </row>
    <row r="13" spans="1:6">
      <c r="A13" s="218"/>
      <c r="B13" s="348"/>
      <c r="C13" s="339"/>
      <c r="D13" s="330"/>
      <c r="E13" s="325"/>
    </row>
    <row r="14" spans="1:6" ht="27.75" customHeight="1">
      <c r="A14" s="218" t="s">
        <v>181</v>
      </c>
      <c r="B14" s="348" t="s">
        <v>610</v>
      </c>
      <c r="C14" s="339"/>
      <c r="D14" s="330"/>
      <c r="E14" s="325"/>
    </row>
    <row r="15" spans="1:6">
      <c r="A15" s="218"/>
      <c r="B15" s="236" t="s">
        <v>588</v>
      </c>
      <c r="C15" s="340"/>
      <c r="D15" s="331">
        <f>(725-170)*0.37</f>
        <v>205.35</v>
      </c>
      <c r="E15" s="325"/>
    </row>
    <row r="16" spans="1:6">
      <c r="A16" s="218"/>
      <c r="B16" s="347" t="s">
        <v>585</v>
      </c>
      <c r="C16" s="339" t="s">
        <v>105</v>
      </c>
      <c r="D16" s="332">
        <f>D15/3*2</f>
        <v>136.9</v>
      </c>
      <c r="E16" s="325"/>
      <c r="F16" s="225">
        <f>E16*D16</f>
        <v>0</v>
      </c>
    </row>
    <row r="17" spans="1:6" ht="25.5">
      <c r="A17" s="218"/>
      <c r="B17" s="347" t="s">
        <v>586</v>
      </c>
      <c r="C17" s="339" t="s">
        <v>105</v>
      </c>
      <c r="D17" s="332">
        <f>D15/3</f>
        <v>68.45</v>
      </c>
      <c r="E17" s="325"/>
      <c r="F17" s="225">
        <f>E17*D17</f>
        <v>0</v>
      </c>
    </row>
    <row r="18" spans="1:6">
      <c r="A18" s="218"/>
      <c r="B18" s="347"/>
      <c r="C18" s="340"/>
      <c r="D18" s="332"/>
      <c r="E18" s="325"/>
      <c r="F18" s="225"/>
    </row>
    <row r="19" spans="1:6" ht="29.25" customHeight="1">
      <c r="A19" s="218" t="s">
        <v>109</v>
      </c>
      <c r="B19" s="347" t="s">
        <v>611</v>
      </c>
      <c r="C19" s="254" t="s">
        <v>104</v>
      </c>
      <c r="D19" s="332">
        <v>400</v>
      </c>
      <c r="E19" s="325"/>
      <c r="F19" s="225">
        <f>E19*D19</f>
        <v>0</v>
      </c>
    </row>
    <row r="20" spans="1:6">
      <c r="A20" s="218"/>
      <c r="B20" s="236"/>
      <c r="C20" s="339"/>
      <c r="D20" s="330"/>
      <c r="E20" s="325"/>
    </row>
    <row r="21" spans="1:6" ht="25.5">
      <c r="A21" s="218" t="s">
        <v>110</v>
      </c>
      <c r="B21" s="348" t="s">
        <v>609</v>
      </c>
      <c r="C21" s="339"/>
      <c r="D21" s="330"/>
      <c r="E21" s="325"/>
    </row>
    <row r="22" spans="1:6" ht="28.5" customHeight="1">
      <c r="A22" s="218"/>
      <c r="B22" s="348" t="s">
        <v>590</v>
      </c>
      <c r="C22" s="339" t="s">
        <v>105</v>
      </c>
      <c r="D22" s="330">
        <f>D23+D24+D25</f>
        <v>79.08472802</v>
      </c>
      <c r="E22" s="325"/>
      <c r="F22" s="225">
        <f>E22*D22</f>
        <v>0</v>
      </c>
    </row>
    <row r="23" spans="1:6">
      <c r="A23" s="218"/>
      <c r="B23" s="236" t="s">
        <v>450</v>
      </c>
      <c r="C23" s="339"/>
      <c r="D23" s="331">
        <f>3.11*(8.3+4.13)</f>
        <v>38.657299999999999</v>
      </c>
      <c r="E23" s="325"/>
    </row>
    <row r="24" spans="1:6">
      <c r="A24" s="218"/>
      <c r="B24" s="236" t="s">
        <v>397</v>
      </c>
      <c r="C24" s="339"/>
      <c r="D24" s="331">
        <f>3.01*3.13*3.13*0.58</f>
        <v>17.103428019999996</v>
      </c>
      <c r="E24" s="325"/>
    </row>
    <row r="25" spans="1:6">
      <c r="A25" s="218"/>
      <c r="B25" s="236" t="s">
        <v>398</v>
      </c>
      <c r="C25" s="339"/>
      <c r="D25" s="331">
        <f>6.86*(1.4+1+1)</f>
        <v>23.324000000000002</v>
      </c>
      <c r="E25" s="325"/>
    </row>
    <row r="26" spans="1:6">
      <c r="A26" s="218"/>
      <c r="B26" s="221"/>
      <c r="D26" s="224"/>
    </row>
    <row r="27" spans="1:6" ht="25.5">
      <c r="A27" s="218" t="s">
        <v>111</v>
      </c>
      <c r="B27" s="180" t="s">
        <v>395</v>
      </c>
      <c r="C27" s="254" t="s">
        <v>104</v>
      </c>
      <c r="D27" s="222">
        <f>D28+D29+D30</f>
        <v>41.718266</v>
      </c>
      <c r="F27" s="223">
        <f>E27*D27</f>
        <v>0</v>
      </c>
    </row>
    <row r="28" spans="1:6">
      <c r="A28" s="218"/>
      <c r="B28" s="236" t="s">
        <v>591</v>
      </c>
      <c r="D28" s="321">
        <f>1.2*4.13</f>
        <v>4.9559999999999995</v>
      </c>
    </row>
    <row r="29" spans="1:6">
      <c r="A29" s="218"/>
      <c r="B29" s="236" t="s">
        <v>399</v>
      </c>
      <c r="D29" s="321">
        <f>3.14*3.13*3.13</f>
        <v>30.762266</v>
      </c>
    </row>
    <row r="30" spans="1:6">
      <c r="A30" s="218"/>
      <c r="B30" s="236" t="s">
        <v>400</v>
      </c>
      <c r="D30" s="321">
        <v>6</v>
      </c>
    </row>
    <row r="31" spans="1:6">
      <c r="A31" s="218"/>
      <c r="B31" s="235"/>
      <c r="D31" s="224"/>
    </row>
    <row r="32" spans="1:6" ht="63.75">
      <c r="A32" s="218" t="s">
        <v>112</v>
      </c>
      <c r="B32" s="180" t="s">
        <v>396</v>
      </c>
      <c r="C32" s="254" t="s">
        <v>104</v>
      </c>
      <c r="D32" s="222">
        <f>D33+D34</f>
        <v>44.114719199999996</v>
      </c>
      <c r="F32" s="223">
        <f>E32*D32</f>
        <v>0</v>
      </c>
    </row>
    <row r="33" spans="1:6">
      <c r="A33" s="218"/>
      <c r="B33" s="236" t="s">
        <v>399</v>
      </c>
      <c r="D33" s="321">
        <f>3.14*3.13*3.13*1.2</f>
        <v>36.9147192</v>
      </c>
    </row>
    <row r="34" spans="1:6">
      <c r="A34" s="218"/>
      <c r="B34" s="236" t="s">
        <v>400</v>
      </c>
      <c r="D34" s="321">
        <f>6*1.2</f>
        <v>7.1999999999999993</v>
      </c>
    </row>
    <row r="35" spans="1:6">
      <c r="A35" s="218"/>
      <c r="B35" s="235"/>
      <c r="D35" s="224"/>
    </row>
    <row r="36" spans="1:6" ht="77.25" customHeight="1">
      <c r="A36" s="218" t="s">
        <v>113</v>
      </c>
      <c r="B36" s="180" t="s">
        <v>638</v>
      </c>
      <c r="C36" s="339" t="s">
        <v>105</v>
      </c>
      <c r="D36" s="334">
        <f>D38+D39+D40+D37</f>
        <v>11.852</v>
      </c>
      <c r="E36" s="225"/>
      <c r="F36" s="225">
        <f>E36*D36</f>
        <v>0</v>
      </c>
    </row>
    <row r="37" spans="1:6">
      <c r="A37" s="218"/>
      <c r="B37" s="236" t="s">
        <v>614</v>
      </c>
      <c r="C37" s="339"/>
      <c r="D37" s="321">
        <f>0.3*4.13</f>
        <v>1.2389999999999999</v>
      </c>
    </row>
    <row r="38" spans="1:6">
      <c r="A38" s="218"/>
      <c r="B38" s="236" t="s">
        <v>401</v>
      </c>
      <c r="C38" s="339"/>
      <c r="D38" s="321">
        <f>29.71*0.3</f>
        <v>8.9130000000000003</v>
      </c>
    </row>
    <row r="39" spans="1:6">
      <c r="A39" s="218"/>
      <c r="B39" s="236" t="s">
        <v>402</v>
      </c>
      <c r="C39" s="339"/>
      <c r="D39" s="321">
        <f>8.5*0.2</f>
        <v>1.7000000000000002</v>
      </c>
    </row>
    <row r="40" spans="1:6">
      <c r="A40" s="218"/>
      <c r="B40" s="236"/>
      <c r="C40" s="339"/>
      <c r="D40" s="222"/>
    </row>
    <row r="41" spans="1:6" ht="51">
      <c r="A41" s="218" t="s">
        <v>114</v>
      </c>
      <c r="B41" s="347" t="s">
        <v>644</v>
      </c>
      <c r="C41" s="339" t="s">
        <v>105</v>
      </c>
      <c r="D41" s="334">
        <f>D43+D44+D45</f>
        <v>16.552880000000002</v>
      </c>
      <c r="E41" s="225"/>
      <c r="F41" s="225">
        <f>E41*D41</f>
        <v>0</v>
      </c>
    </row>
    <row r="42" spans="1:6" ht="15.75" customHeight="1">
      <c r="A42" s="218"/>
      <c r="B42" s="347" t="s">
        <v>639</v>
      </c>
      <c r="C42" s="339"/>
      <c r="D42" s="222"/>
    </row>
    <row r="43" spans="1:6">
      <c r="A43" s="218"/>
      <c r="B43" s="236" t="s">
        <v>640</v>
      </c>
      <c r="C43" s="236"/>
      <c r="D43" s="343">
        <f>0.86*(4.13+8.3)</f>
        <v>10.6898</v>
      </c>
    </row>
    <row r="44" spans="1:6">
      <c r="A44" s="218"/>
      <c r="B44" s="236" t="s">
        <v>642</v>
      </c>
      <c r="C44" s="236"/>
      <c r="D44" s="343">
        <f>0.09*2*3.14*2.9</f>
        <v>1.6390800000000001</v>
      </c>
    </row>
    <row r="45" spans="1:6">
      <c r="A45" s="218"/>
      <c r="B45" s="236" t="s">
        <v>643</v>
      </c>
      <c r="C45" s="236"/>
      <c r="D45" s="343">
        <f>0.48*(2*3.6+1.6)</f>
        <v>4.2240000000000002</v>
      </c>
    </row>
    <row r="46" spans="1:6">
      <c r="A46" s="218"/>
      <c r="B46" s="347"/>
      <c r="C46" s="339"/>
      <c r="D46" s="222"/>
    </row>
    <row r="47" spans="1:6" ht="41.25" customHeight="1">
      <c r="A47" s="218" t="s">
        <v>115</v>
      </c>
      <c r="B47" s="349" t="s">
        <v>645</v>
      </c>
      <c r="C47" s="339" t="s">
        <v>105</v>
      </c>
      <c r="D47" s="334">
        <f>D48+D49+D50</f>
        <v>16.552880000000002</v>
      </c>
      <c r="E47" s="225"/>
      <c r="F47" s="225">
        <f>E47*D47</f>
        <v>0</v>
      </c>
    </row>
    <row r="48" spans="1:6">
      <c r="A48" s="218"/>
      <c r="B48" s="236" t="s">
        <v>640</v>
      </c>
      <c r="C48" s="236"/>
      <c r="D48" s="343">
        <f>0.86*(4.13+8.3)</f>
        <v>10.6898</v>
      </c>
    </row>
    <row r="49" spans="1:6">
      <c r="A49" s="218"/>
      <c r="B49" s="236" t="s">
        <v>642</v>
      </c>
      <c r="C49" s="236"/>
      <c r="D49" s="343">
        <f>0.09*2*3.14*2.9</f>
        <v>1.6390800000000001</v>
      </c>
    </row>
    <row r="50" spans="1:6">
      <c r="A50" s="218"/>
      <c r="B50" s="236" t="s">
        <v>643</v>
      </c>
      <c r="C50" s="236"/>
      <c r="D50" s="343">
        <f>0.48*(2*3.6+1.6)</f>
        <v>4.2240000000000002</v>
      </c>
    </row>
    <row r="51" spans="1:6">
      <c r="A51" s="218"/>
      <c r="B51" s="236"/>
      <c r="C51" s="236"/>
      <c r="D51" s="343"/>
    </row>
    <row r="52" spans="1:6" ht="80.25" customHeight="1">
      <c r="A52" s="218" t="s">
        <v>116</v>
      </c>
      <c r="B52" s="452" t="s">
        <v>824</v>
      </c>
      <c r="C52" s="339" t="s">
        <v>107</v>
      </c>
      <c r="D52" s="334">
        <f>SUM(D54:D57)</f>
        <v>140.87</v>
      </c>
      <c r="E52" s="225"/>
      <c r="F52" s="225">
        <f>E52*D52</f>
        <v>0</v>
      </c>
    </row>
    <row r="53" spans="1:6" ht="25.5">
      <c r="A53" s="218"/>
      <c r="B53" s="348" t="s">
        <v>634</v>
      </c>
      <c r="C53" s="339"/>
      <c r="D53" s="222"/>
      <c r="F53" s="225"/>
    </row>
    <row r="54" spans="1:6">
      <c r="A54" s="218"/>
      <c r="B54" s="236" t="s">
        <v>635</v>
      </c>
      <c r="C54" s="340"/>
      <c r="D54" s="321">
        <f>2*3.14*3</f>
        <v>18.84</v>
      </c>
      <c r="F54" s="225"/>
    </row>
    <row r="55" spans="1:6">
      <c r="A55" s="218"/>
      <c r="B55" s="236" t="s">
        <v>636</v>
      </c>
      <c r="C55" s="340"/>
      <c r="D55" s="321">
        <f>8.3+4.13</f>
        <v>12.43</v>
      </c>
      <c r="F55" s="225"/>
    </row>
    <row r="56" spans="1:6">
      <c r="A56" s="218"/>
      <c r="B56" s="236" t="s">
        <v>637</v>
      </c>
      <c r="C56" s="340"/>
      <c r="D56" s="321">
        <f>2*(4+1.8)</f>
        <v>11.6</v>
      </c>
      <c r="F56" s="225"/>
    </row>
    <row r="57" spans="1:6">
      <c r="A57" s="218"/>
      <c r="B57" s="447" t="s">
        <v>822</v>
      </c>
      <c r="C57" s="454"/>
      <c r="D57" s="453">
        <v>98</v>
      </c>
    </row>
    <row r="58" spans="1:6">
      <c r="A58" s="218"/>
      <c r="B58" s="180"/>
      <c r="D58" s="222"/>
    </row>
    <row r="59" spans="1:6">
      <c r="A59" s="218" t="s">
        <v>117</v>
      </c>
      <c r="B59" s="349" t="s">
        <v>404</v>
      </c>
      <c r="C59" s="339" t="s">
        <v>105</v>
      </c>
      <c r="D59" s="330">
        <v>1</v>
      </c>
      <c r="E59" s="225"/>
      <c r="F59" s="225">
        <f>E59*D59</f>
        <v>0</v>
      </c>
    </row>
    <row r="60" spans="1:6">
      <c r="A60" s="218"/>
      <c r="B60" s="227"/>
      <c r="C60" s="341"/>
      <c r="D60" s="222"/>
      <c r="E60" s="222"/>
    </row>
    <row r="61" spans="1:6" ht="51">
      <c r="A61" s="218" t="s">
        <v>118</v>
      </c>
      <c r="B61" s="226" t="s">
        <v>405</v>
      </c>
      <c r="C61" s="341" t="s">
        <v>104</v>
      </c>
      <c r="D61" s="222">
        <v>73</v>
      </c>
      <c r="E61" s="222"/>
      <c r="F61" s="223">
        <f>E61*D61</f>
        <v>0</v>
      </c>
    </row>
    <row r="62" spans="1:6">
      <c r="A62" s="218"/>
      <c r="B62" s="226"/>
      <c r="C62" s="341"/>
      <c r="D62" s="222"/>
      <c r="E62" s="222"/>
    </row>
    <row r="63" spans="1:6" ht="127.5">
      <c r="A63" s="218" t="s">
        <v>119</v>
      </c>
      <c r="B63" s="226" t="s">
        <v>423</v>
      </c>
      <c r="C63" s="341" t="s">
        <v>107</v>
      </c>
      <c r="D63" s="222">
        <f>SUM(D64:D75)</f>
        <v>268.09999999999997</v>
      </c>
      <c r="E63" s="222"/>
      <c r="F63" s="223">
        <f>E63*D63</f>
        <v>0</v>
      </c>
    </row>
    <row r="64" spans="1:6">
      <c r="A64" s="218"/>
      <c r="B64" s="237" t="s">
        <v>411</v>
      </c>
      <c r="C64" s="341"/>
      <c r="D64" s="238">
        <f>5.84+20.16+30.33+2.4+1.5</f>
        <v>60.23</v>
      </c>
      <c r="E64" s="222"/>
    </row>
    <row r="65" spans="1:6">
      <c r="A65" s="218"/>
      <c r="B65" s="237" t="s">
        <v>414</v>
      </c>
      <c r="C65" s="341"/>
      <c r="D65" s="238">
        <f>2*3.14*2</f>
        <v>12.56</v>
      </c>
      <c r="E65" s="222"/>
    </row>
    <row r="66" spans="1:6">
      <c r="A66" s="218"/>
      <c r="B66" s="237" t="s">
        <v>412</v>
      </c>
      <c r="C66" s="341"/>
      <c r="D66" s="238">
        <f>5.4+10.69+8.59+4.92+6.04+8.32</f>
        <v>43.96</v>
      </c>
      <c r="E66" s="222"/>
    </row>
    <row r="67" spans="1:6">
      <c r="A67" s="218"/>
      <c r="B67" s="237" t="s">
        <v>413</v>
      </c>
      <c r="C67" s="341"/>
      <c r="D67" s="238">
        <f>6.3+19.14+5.72+7.29+5.97+2.17+12.77+13.49</f>
        <v>72.849999999999994</v>
      </c>
      <c r="E67" s="222"/>
    </row>
    <row r="68" spans="1:6">
      <c r="A68" s="218"/>
      <c r="B68" s="237" t="s">
        <v>421</v>
      </c>
      <c r="C68" s="341"/>
      <c r="D68" s="238">
        <f>2*3.14*2.1</f>
        <v>13.188000000000001</v>
      </c>
      <c r="E68" s="222"/>
    </row>
    <row r="69" spans="1:6">
      <c r="A69" s="218"/>
      <c r="B69" s="237" t="s">
        <v>422</v>
      </c>
      <c r="C69" s="341"/>
      <c r="D69" s="238">
        <f>2*3.14*1.5</f>
        <v>9.42</v>
      </c>
      <c r="E69" s="222"/>
    </row>
    <row r="70" spans="1:6">
      <c r="A70" s="218"/>
      <c r="B70" s="237" t="s">
        <v>415</v>
      </c>
      <c r="C70" s="341"/>
      <c r="D70" s="238">
        <f>2*3.14*1.25</f>
        <v>7.8500000000000005</v>
      </c>
      <c r="E70" s="222"/>
    </row>
    <row r="71" spans="1:6">
      <c r="A71" s="218"/>
      <c r="B71" s="237" t="s">
        <v>416</v>
      </c>
      <c r="C71" s="341"/>
      <c r="D71" s="238">
        <f>2*3.14*1.15</f>
        <v>7.2219999999999995</v>
      </c>
      <c r="E71" s="222"/>
    </row>
    <row r="72" spans="1:6">
      <c r="A72" s="218"/>
      <c r="B72" s="237" t="s">
        <v>417</v>
      </c>
      <c r="C72" s="341"/>
      <c r="D72" s="238">
        <f>D70</f>
        <v>7.8500000000000005</v>
      </c>
      <c r="E72" s="222"/>
    </row>
    <row r="73" spans="1:6">
      <c r="A73" s="218"/>
      <c r="B73" s="237" t="s">
        <v>418</v>
      </c>
      <c r="C73" s="341"/>
      <c r="D73" s="238">
        <f>D72</f>
        <v>7.8500000000000005</v>
      </c>
      <c r="E73" s="222"/>
    </row>
    <row r="74" spans="1:6">
      <c r="A74" s="218"/>
      <c r="B74" s="237" t="s">
        <v>419</v>
      </c>
      <c r="C74" s="341"/>
      <c r="D74" s="238">
        <f>2*3.14*2.5</f>
        <v>15.700000000000001</v>
      </c>
      <c r="E74" s="222"/>
    </row>
    <row r="75" spans="1:6">
      <c r="A75" s="218"/>
      <c r="B75" s="237" t="s">
        <v>420</v>
      </c>
      <c r="C75" s="341"/>
      <c r="D75" s="238">
        <f>2*3.14*1.5</f>
        <v>9.42</v>
      </c>
      <c r="E75" s="222"/>
    </row>
    <row r="76" spans="1:6">
      <c r="A76" s="218"/>
      <c r="B76" s="237"/>
      <c r="C76" s="341"/>
      <c r="D76" s="238"/>
      <c r="E76" s="222"/>
    </row>
    <row r="77" spans="1:6">
      <c r="A77" s="218"/>
      <c r="B77" s="424" t="s">
        <v>410</v>
      </c>
      <c r="C77" s="341"/>
      <c r="D77" s="222"/>
      <c r="E77" s="222"/>
    </row>
    <row r="78" spans="1:6">
      <c r="A78" s="218" t="s">
        <v>120</v>
      </c>
      <c r="B78" s="226" t="s">
        <v>408</v>
      </c>
      <c r="C78" s="341"/>
      <c r="D78" s="222"/>
      <c r="E78" s="222"/>
    </row>
    <row r="79" spans="1:6">
      <c r="A79" s="425" t="s">
        <v>343</v>
      </c>
      <c r="B79" s="226" t="s">
        <v>406</v>
      </c>
      <c r="C79" s="341" t="s">
        <v>104</v>
      </c>
      <c r="D79" s="334">
        <v>400</v>
      </c>
      <c r="E79" s="334"/>
      <c r="F79" s="295">
        <f>E79*D79</f>
        <v>0</v>
      </c>
    </row>
    <row r="80" spans="1:6" ht="25.5">
      <c r="A80" s="218" t="s">
        <v>344</v>
      </c>
      <c r="B80" s="446" t="s">
        <v>823</v>
      </c>
      <c r="C80" s="341" t="s">
        <v>104</v>
      </c>
      <c r="D80" s="334">
        <v>400</v>
      </c>
      <c r="E80" s="334"/>
      <c r="F80" s="295">
        <f>E80*D80</f>
        <v>0</v>
      </c>
    </row>
    <row r="81" spans="1:6" ht="84" customHeight="1">
      <c r="A81" s="218" t="s">
        <v>345</v>
      </c>
      <c r="B81" s="226" t="s">
        <v>407</v>
      </c>
      <c r="C81" s="341" t="s">
        <v>104</v>
      </c>
      <c r="D81" s="334">
        <v>400</v>
      </c>
      <c r="E81" s="334"/>
      <c r="F81" s="295">
        <f>E81*D81</f>
        <v>0</v>
      </c>
    </row>
    <row r="82" spans="1:6" ht="134.25" customHeight="1">
      <c r="A82" s="218" t="s">
        <v>773</v>
      </c>
      <c r="B82" s="350" t="s">
        <v>409</v>
      </c>
      <c r="C82" s="341" t="s">
        <v>104</v>
      </c>
      <c r="D82" s="334">
        <v>400</v>
      </c>
      <c r="E82" s="334"/>
      <c r="F82" s="295">
        <f>E82*D82</f>
        <v>0</v>
      </c>
    </row>
    <row r="83" spans="1:6" ht="25.5">
      <c r="A83" s="218"/>
      <c r="B83" s="353" t="s">
        <v>788</v>
      </c>
      <c r="C83" s="341"/>
      <c r="D83" s="334"/>
      <c r="E83" s="334"/>
      <c r="F83" s="295"/>
    </row>
    <row r="84" spans="1:6" ht="76.5">
      <c r="A84" s="218" t="s">
        <v>122</v>
      </c>
      <c r="B84" s="350" t="s">
        <v>669</v>
      </c>
      <c r="C84" s="341" t="s">
        <v>104</v>
      </c>
      <c r="D84" s="334">
        <v>54</v>
      </c>
      <c r="E84" s="334"/>
      <c r="F84" s="295">
        <f>E84*D84</f>
        <v>0</v>
      </c>
    </row>
    <row r="85" spans="1:6">
      <c r="A85" s="218"/>
      <c r="B85" s="350"/>
      <c r="C85" s="341"/>
      <c r="D85" s="334"/>
      <c r="E85" s="334"/>
      <c r="F85" s="295"/>
    </row>
    <row r="86" spans="1:6" ht="38.25">
      <c r="A86" s="218" t="s">
        <v>123</v>
      </c>
      <c r="B86" s="350" t="s">
        <v>613</v>
      </c>
      <c r="C86" s="341" t="s">
        <v>104</v>
      </c>
      <c r="D86" s="334">
        <f>723.67-422.6</f>
        <v>301.06999999999994</v>
      </c>
      <c r="E86" s="334"/>
      <c r="F86" s="295">
        <f>E86*D86</f>
        <v>0</v>
      </c>
    </row>
    <row r="87" spans="1:6">
      <c r="A87" s="218"/>
      <c r="B87" s="227"/>
      <c r="C87" s="341"/>
      <c r="D87" s="222"/>
      <c r="E87" s="222"/>
      <c r="F87" s="253"/>
    </row>
    <row r="88" spans="1:6">
      <c r="A88" s="218"/>
      <c r="B88" s="185" t="s">
        <v>121</v>
      </c>
      <c r="D88" s="219"/>
      <c r="F88" s="223">
        <f>SUM(F7:F87)</f>
        <v>0</v>
      </c>
    </row>
    <row r="90" spans="1:6">
      <c r="B90" s="231"/>
    </row>
    <row r="91" spans="1:6">
      <c r="B91" s="232"/>
    </row>
  </sheetData>
  <mergeCells count="2">
    <mergeCell ref="B5:E5"/>
    <mergeCell ref="B7:E7"/>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Zeros="0" view="pageBreakPreview" topLeftCell="A25" zoomScale="130" zoomScaleNormal="100" zoomScaleSheetLayoutView="130" workbookViewId="0">
      <selection activeCell="E58" sqref="E58"/>
    </sheetView>
  </sheetViews>
  <sheetFormatPr defaultColWidth="9.140625" defaultRowHeight="12.75"/>
  <cols>
    <col min="1" max="1" width="4.42578125" style="313" customWidth="1"/>
    <col min="2" max="2" width="53.28515625" style="158" customWidth="1"/>
    <col min="3" max="3" width="6.140625" style="158" customWidth="1"/>
    <col min="4" max="4" width="10.7109375" style="223" customWidth="1"/>
    <col min="5" max="5" width="8" style="158" customWidth="1" collapsed="1"/>
    <col min="6" max="6" width="10.7109375" style="158" customWidth="1"/>
    <col min="7" max="10" width="9.140625" style="109"/>
    <col min="11" max="16384" width="9.140625" style="109" collapsed="1"/>
  </cols>
  <sheetData>
    <row r="1" spans="1:6">
      <c r="A1" s="303" t="s">
        <v>167</v>
      </c>
      <c r="B1" s="161" t="s">
        <v>657</v>
      </c>
      <c r="C1" s="208"/>
      <c r="D1" s="209"/>
      <c r="E1" s="210"/>
      <c r="F1" s="210"/>
    </row>
    <row r="2" spans="1:6">
      <c r="A2" s="304"/>
      <c r="B2" s="164"/>
      <c r="C2" s="213"/>
      <c r="D2" s="214"/>
      <c r="E2" s="208"/>
      <c r="F2" s="208"/>
    </row>
    <row r="3" spans="1:6" ht="25.5">
      <c r="A3" s="305" t="s">
        <v>173</v>
      </c>
      <c r="B3" s="168" t="s">
        <v>174</v>
      </c>
      <c r="C3" s="216" t="s">
        <v>175</v>
      </c>
      <c r="D3" s="217" t="s">
        <v>176</v>
      </c>
      <c r="E3" s="170" t="s">
        <v>302</v>
      </c>
      <c r="F3" s="159" t="s">
        <v>303</v>
      </c>
    </row>
    <row r="4" spans="1:6">
      <c r="A4" s="306"/>
      <c r="B4" s="286"/>
      <c r="C4" s="307"/>
      <c r="D4" s="308"/>
    </row>
    <row r="5" spans="1:6" ht="180" customHeight="1">
      <c r="A5" s="247"/>
      <c r="B5" s="468" t="s">
        <v>514</v>
      </c>
      <c r="C5" s="468"/>
      <c r="D5" s="468"/>
      <c r="E5" s="468"/>
      <c r="F5" s="223"/>
    </row>
    <row r="6" spans="1:6" ht="26.45" customHeight="1">
      <c r="A6" s="247"/>
      <c r="B6" s="468" t="s">
        <v>424</v>
      </c>
      <c r="C6" s="468"/>
      <c r="D6" s="468"/>
      <c r="E6" s="468"/>
      <c r="F6" s="223"/>
    </row>
    <row r="7" spans="1:6" ht="30.6" customHeight="1">
      <c r="A7" s="218"/>
      <c r="B7" s="469" t="s">
        <v>323</v>
      </c>
      <c r="C7" s="469"/>
      <c r="D7" s="469"/>
      <c r="E7" s="469"/>
      <c r="F7" s="223"/>
    </row>
    <row r="8" spans="1:6" ht="28.15" customHeight="1">
      <c r="A8" s="247"/>
      <c r="B8" s="468" t="s">
        <v>0</v>
      </c>
      <c r="C8" s="468"/>
      <c r="D8" s="468"/>
      <c r="E8" s="468"/>
      <c r="F8" s="223"/>
    </row>
    <row r="9" spans="1:6">
      <c r="A9" s="247"/>
      <c r="B9" s="469" t="s">
        <v>515</v>
      </c>
      <c r="C9" s="469"/>
      <c r="D9" s="469"/>
      <c r="E9" s="469"/>
      <c r="F9" s="223"/>
    </row>
    <row r="10" spans="1:6">
      <c r="A10" s="247"/>
      <c r="B10" s="172"/>
      <c r="C10" s="309"/>
      <c r="D10" s="219"/>
      <c r="F10" s="223"/>
    </row>
    <row r="11" spans="1:6" ht="25.5">
      <c r="A11" s="247" t="s">
        <v>179</v>
      </c>
      <c r="B11" s="348" t="s">
        <v>572</v>
      </c>
      <c r="C11" s="309" t="s">
        <v>105</v>
      </c>
      <c r="D11" s="157">
        <v>2</v>
      </c>
      <c r="F11" s="223">
        <f>E11*D11</f>
        <v>0</v>
      </c>
    </row>
    <row r="12" spans="1:6">
      <c r="A12" s="247"/>
      <c r="B12" s="172"/>
      <c r="C12" s="309"/>
      <c r="D12" s="219"/>
      <c r="F12" s="223"/>
    </row>
    <row r="13" spans="1:6" ht="57" customHeight="1">
      <c r="A13" s="247" t="s">
        <v>181</v>
      </c>
      <c r="B13" s="180" t="s">
        <v>516</v>
      </c>
      <c r="C13" s="309" t="s">
        <v>105</v>
      </c>
      <c r="D13" s="222">
        <f>D14+D15+D16</f>
        <v>3.9033400000000005</v>
      </c>
      <c r="F13" s="223">
        <f>E13*D13</f>
        <v>0</v>
      </c>
    </row>
    <row r="14" spans="1:6" ht="25.5">
      <c r="A14" s="247"/>
      <c r="B14" s="236" t="s">
        <v>569</v>
      </c>
      <c r="C14" s="320">
        <f>1.25*0.05</f>
        <v>6.25E-2</v>
      </c>
      <c r="D14" s="321">
        <f>C14*(8.3+4.13)</f>
        <v>0.77687499999999998</v>
      </c>
      <c r="F14" s="223"/>
    </row>
    <row r="15" spans="1:6">
      <c r="A15" s="247"/>
      <c r="B15" s="236" t="s">
        <v>570</v>
      </c>
      <c r="C15" s="320"/>
      <c r="D15" s="321">
        <f>3.14*2.85*2.85*0.1</f>
        <v>2.5504650000000004</v>
      </c>
      <c r="F15" s="223"/>
    </row>
    <row r="16" spans="1:6">
      <c r="A16" s="247"/>
      <c r="B16" s="236" t="s">
        <v>571</v>
      </c>
      <c r="C16" s="320"/>
      <c r="D16" s="321">
        <f>5.76*0.1</f>
        <v>0.57599999999999996</v>
      </c>
      <c r="F16" s="223"/>
    </row>
    <row r="17" spans="1:6">
      <c r="A17" s="247"/>
      <c r="B17" s="180"/>
      <c r="C17" s="309"/>
      <c r="D17" s="222"/>
      <c r="F17" s="223"/>
    </row>
    <row r="18" spans="1:6" ht="18" customHeight="1">
      <c r="A18" s="247" t="s">
        <v>109</v>
      </c>
      <c r="B18" s="180" t="s">
        <v>517</v>
      </c>
      <c r="C18" s="309"/>
      <c r="D18" s="222"/>
      <c r="F18" s="223"/>
    </row>
    <row r="19" spans="1:6" ht="25.5">
      <c r="A19" s="247"/>
      <c r="B19" s="180" t="s">
        <v>814</v>
      </c>
      <c r="C19" s="309"/>
      <c r="D19" s="222"/>
      <c r="F19" s="223"/>
    </row>
    <row r="20" spans="1:6">
      <c r="A20" s="247"/>
      <c r="B20" s="180" t="s">
        <v>523</v>
      </c>
      <c r="C20" s="309"/>
      <c r="D20" s="222"/>
      <c r="F20" s="223"/>
    </row>
    <row r="21" spans="1:6">
      <c r="A21" s="247"/>
      <c r="B21" s="180" t="s">
        <v>524</v>
      </c>
      <c r="C21" s="309"/>
      <c r="D21" s="222"/>
      <c r="F21" s="223"/>
    </row>
    <row r="22" spans="1:6" ht="25.5">
      <c r="A22" s="247"/>
      <c r="B22" s="180" t="s">
        <v>525</v>
      </c>
      <c r="C22" s="309"/>
      <c r="D22" s="222"/>
      <c r="F22" s="223"/>
    </row>
    <row r="23" spans="1:6">
      <c r="A23" s="247"/>
      <c r="B23" s="180" t="s">
        <v>526</v>
      </c>
      <c r="C23" s="309"/>
      <c r="D23" s="222"/>
      <c r="F23" s="223"/>
    </row>
    <row r="24" spans="1:6">
      <c r="A24" s="247"/>
      <c r="B24" s="180" t="s">
        <v>527</v>
      </c>
      <c r="C24" s="309"/>
      <c r="D24" s="222"/>
      <c r="F24" s="223"/>
    </row>
    <row r="25" spans="1:6">
      <c r="A25" s="247"/>
      <c r="B25" s="180"/>
      <c r="C25" s="309"/>
      <c r="D25" s="222"/>
      <c r="F25" s="223"/>
    </row>
    <row r="26" spans="1:6">
      <c r="A26" s="247"/>
      <c r="B26" s="183" t="s">
        <v>324</v>
      </c>
      <c r="C26" s="309"/>
      <c r="D26" s="222"/>
      <c r="F26" s="223"/>
    </row>
    <row r="27" spans="1:6">
      <c r="A27" s="247" t="s">
        <v>774</v>
      </c>
      <c r="B27" s="315" t="s">
        <v>426</v>
      </c>
      <c r="C27" s="309" t="s">
        <v>105</v>
      </c>
      <c r="D27" s="222">
        <f>SUM(D29:D41)</f>
        <v>39.897600000000004</v>
      </c>
      <c r="F27" s="223">
        <f>E27*D27</f>
        <v>0</v>
      </c>
    </row>
    <row r="28" spans="1:6">
      <c r="A28" s="247"/>
      <c r="B28" s="183" t="s">
        <v>815</v>
      </c>
      <c r="C28" s="309"/>
      <c r="D28" s="222"/>
      <c r="F28" s="223"/>
    </row>
    <row r="29" spans="1:6">
      <c r="A29" s="247"/>
      <c r="B29" s="183" t="s">
        <v>576</v>
      </c>
      <c r="C29" s="323">
        <f>1.2*0.4</f>
        <v>0.48</v>
      </c>
      <c r="D29" s="321">
        <f>C29+(C30+C31)</f>
        <v>12.91</v>
      </c>
      <c r="F29" s="223"/>
    </row>
    <row r="30" spans="1:6">
      <c r="A30" s="247"/>
      <c r="B30" s="324" t="s">
        <v>573</v>
      </c>
      <c r="C30" s="321">
        <v>8.3000000000000007</v>
      </c>
      <c r="D30" s="222"/>
      <c r="F30" s="223"/>
    </row>
    <row r="31" spans="1:6">
      <c r="A31" s="247"/>
      <c r="B31" s="324" t="s">
        <v>574</v>
      </c>
      <c r="C31" s="321">
        <v>4.13</v>
      </c>
      <c r="D31" s="222"/>
      <c r="F31" s="223"/>
    </row>
    <row r="32" spans="1:6" ht="25.5">
      <c r="A32" s="247"/>
      <c r="B32" s="183" t="s">
        <v>575</v>
      </c>
      <c r="C32" s="323">
        <v>1.2</v>
      </c>
      <c r="D32" s="321">
        <f>(C33+C34)*1.2</f>
        <v>14.915999999999999</v>
      </c>
      <c r="F32" s="223"/>
    </row>
    <row r="33" spans="1:6">
      <c r="A33" s="247"/>
      <c r="B33" s="324" t="s">
        <v>577</v>
      </c>
      <c r="C33" s="321">
        <v>8.3000000000000007</v>
      </c>
      <c r="D33" s="222"/>
      <c r="F33" s="223"/>
    </row>
    <row r="34" spans="1:6">
      <c r="A34" s="247"/>
      <c r="B34" s="324" t="s">
        <v>578</v>
      </c>
      <c r="C34" s="321">
        <v>4.13</v>
      </c>
      <c r="D34" s="222"/>
      <c r="F34" s="223"/>
    </row>
    <row r="35" spans="1:6" ht="51">
      <c r="A35" s="247"/>
      <c r="B35" s="348" t="s">
        <v>579</v>
      </c>
      <c r="C35" s="320">
        <f>0.7*0.2</f>
        <v>0.13999999999999999</v>
      </c>
      <c r="D35" s="321">
        <f>(C36+C37)*C35</f>
        <v>8.3495999999999988</v>
      </c>
      <c r="F35" s="223"/>
    </row>
    <row r="36" spans="1:6">
      <c r="A36" s="247"/>
      <c r="B36" s="324" t="s">
        <v>580</v>
      </c>
      <c r="C36" s="320">
        <f>8.3+23.8+9.92</f>
        <v>42.02</v>
      </c>
      <c r="D36" s="222"/>
      <c r="F36" s="223"/>
    </row>
    <row r="37" spans="1:6">
      <c r="A37" s="247"/>
      <c r="B37" s="324" t="s">
        <v>581</v>
      </c>
      <c r="C37" s="320">
        <f>4.13+5.72+7.77</f>
        <v>17.619999999999997</v>
      </c>
      <c r="D37" s="222"/>
      <c r="F37" s="223"/>
    </row>
    <row r="38" spans="1:6">
      <c r="A38" s="247"/>
      <c r="B38" s="348" t="s">
        <v>425</v>
      </c>
      <c r="C38" s="309"/>
      <c r="D38" s="222"/>
      <c r="F38" s="223"/>
    </row>
    <row r="39" spans="1:6">
      <c r="A39" s="247"/>
      <c r="B39" s="324" t="s">
        <v>582</v>
      </c>
      <c r="C39" s="320"/>
      <c r="D39" s="321">
        <f>0.2*5.25</f>
        <v>1.05</v>
      </c>
      <c r="F39" s="223"/>
    </row>
    <row r="40" spans="1:6">
      <c r="A40" s="247"/>
      <c r="B40" s="324" t="s">
        <v>342</v>
      </c>
      <c r="C40" s="320"/>
      <c r="D40" s="321">
        <f>(1.4+3.4)*2*1*0.2</f>
        <v>1.92</v>
      </c>
      <c r="F40" s="223"/>
    </row>
    <row r="41" spans="1:6">
      <c r="A41" s="247"/>
      <c r="B41" s="324" t="s">
        <v>583</v>
      </c>
      <c r="C41" s="320"/>
      <c r="D41" s="321">
        <f>0.2*3.76</f>
        <v>0.752</v>
      </c>
      <c r="F41" s="223"/>
    </row>
    <row r="42" spans="1:6">
      <c r="A42" s="247"/>
      <c r="B42" s="310"/>
      <c r="C42" s="309"/>
      <c r="D42" s="222"/>
      <c r="F42" s="223"/>
    </row>
    <row r="43" spans="1:6" ht="25.5">
      <c r="A43" s="247" t="s">
        <v>775</v>
      </c>
      <c r="B43" s="349" t="s">
        <v>647</v>
      </c>
      <c r="C43" s="309" t="s">
        <v>105</v>
      </c>
      <c r="D43" s="222">
        <f>D54+D55</f>
        <v>10.5504</v>
      </c>
      <c r="F43" s="223">
        <f>E43*D43</f>
        <v>0</v>
      </c>
    </row>
    <row r="44" spans="1:6">
      <c r="A44" s="247"/>
      <c r="B44" s="180" t="s">
        <v>509</v>
      </c>
      <c r="C44" s="309"/>
      <c r="D44" s="222"/>
      <c r="F44" s="223"/>
    </row>
    <row r="45" spans="1:6">
      <c r="A45" s="247"/>
      <c r="B45" s="180" t="s">
        <v>510</v>
      </c>
      <c r="C45" s="309"/>
      <c r="D45" s="222"/>
      <c r="F45" s="223"/>
    </row>
    <row r="46" spans="1:6">
      <c r="A46" s="247"/>
      <c r="B46" s="180" t="s">
        <v>511</v>
      </c>
      <c r="C46" s="309"/>
      <c r="D46" s="222"/>
      <c r="F46" s="223"/>
    </row>
    <row r="47" spans="1:6">
      <c r="A47" s="247"/>
      <c r="B47" s="180" t="s">
        <v>512</v>
      </c>
      <c r="C47" s="309"/>
      <c r="D47" s="222"/>
      <c r="F47" s="223"/>
    </row>
    <row r="48" spans="1:6">
      <c r="A48" s="247"/>
      <c r="B48" s="180" t="s">
        <v>513</v>
      </c>
      <c r="C48" s="309"/>
      <c r="D48" s="222"/>
      <c r="F48" s="223"/>
    </row>
    <row r="49" spans="1:6">
      <c r="A49" s="247"/>
      <c r="B49" s="180" t="s">
        <v>556</v>
      </c>
      <c r="C49" s="309"/>
      <c r="D49" s="222"/>
      <c r="F49" s="223"/>
    </row>
    <row r="50" spans="1:6">
      <c r="A50" s="247"/>
      <c r="B50" s="180" t="s">
        <v>519</v>
      </c>
      <c r="C50" s="309"/>
      <c r="D50" s="222"/>
      <c r="F50" s="223"/>
    </row>
    <row r="51" spans="1:6">
      <c r="A51" s="247"/>
      <c r="B51" s="180" t="s">
        <v>520</v>
      </c>
      <c r="C51" s="309"/>
      <c r="D51" s="222"/>
      <c r="F51" s="223"/>
    </row>
    <row r="52" spans="1:6">
      <c r="A52" s="247"/>
      <c r="B52" s="180" t="s">
        <v>521</v>
      </c>
      <c r="C52" s="309"/>
      <c r="D52" s="222"/>
      <c r="F52" s="223"/>
    </row>
    <row r="53" spans="1:6">
      <c r="A53" s="247"/>
      <c r="B53" s="442"/>
      <c r="C53" s="309"/>
      <c r="D53" s="222"/>
      <c r="F53" s="223"/>
    </row>
    <row r="54" spans="1:6">
      <c r="A54" s="247"/>
      <c r="B54" s="236" t="s">
        <v>545</v>
      </c>
      <c r="C54" s="320"/>
      <c r="D54" s="321">
        <f>3.14*2.8*2.8*0.3</f>
        <v>7.3852799999999998</v>
      </c>
      <c r="F54" s="223"/>
    </row>
    <row r="55" spans="1:6" ht="25.5">
      <c r="A55" s="247"/>
      <c r="B55" s="236" t="s">
        <v>546</v>
      </c>
      <c r="C55" s="320"/>
      <c r="D55" s="321">
        <f>0.45*0.4*2*3.14*2.8</f>
        <v>3.1651199999999999</v>
      </c>
      <c r="F55" s="223"/>
    </row>
    <row r="56" spans="1:6">
      <c r="A56" s="247"/>
      <c r="B56" s="174"/>
      <c r="C56" s="309"/>
      <c r="D56" s="224"/>
      <c r="F56" s="223"/>
    </row>
    <row r="57" spans="1:6">
      <c r="A57" s="247"/>
      <c r="B57" s="177" t="s">
        <v>325</v>
      </c>
      <c r="C57" s="309"/>
      <c r="D57" s="224"/>
      <c r="F57" s="223"/>
    </row>
    <row r="58" spans="1:6" ht="38.25">
      <c r="A58" s="247" t="s">
        <v>110</v>
      </c>
      <c r="B58" s="311" t="s">
        <v>518</v>
      </c>
      <c r="C58" s="228" t="s">
        <v>130</v>
      </c>
      <c r="D58" s="157">
        <f>SUM(D59:D63)</f>
        <v>2754</v>
      </c>
      <c r="E58" s="222"/>
      <c r="F58" s="222">
        <f>E58*D58</f>
        <v>0</v>
      </c>
    </row>
    <row r="59" spans="1:6">
      <c r="A59" s="247"/>
      <c r="B59" s="236" t="s">
        <v>808</v>
      </c>
      <c r="C59" s="228"/>
      <c r="D59" s="321">
        <v>360</v>
      </c>
      <c r="E59" s="222"/>
      <c r="F59" s="222"/>
    </row>
    <row r="60" spans="1:6">
      <c r="A60" s="247"/>
      <c r="B60" s="236" t="s">
        <v>809</v>
      </c>
      <c r="C60" s="228"/>
      <c r="D60" s="321">
        <v>125</v>
      </c>
      <c r="E60" s="222"/>
      <c r="F60" s="222"/>
    </row>
    <row r="61" spans="1:6">
      <c r="A61" s="247"/>
      <c r="B61" s="236" t="s">
        <v>810</v>
      </c>
      <c r="C61" s="228"/>
      <c r="D61" s="321">
        <v>1204</v>
      </c>
      <c r="E61" s="222"/>
      <c r="F61" s="222"/>
    </row>
    <row r="62" spans="1:6">
      <c r="A62" s="247"/>
      <c r="B62" s="236" t="s">
        <v>811</v>
      </c>
      <c r="C62" s="228"/>
      <c r="D62" s="321">
        <v>325</v>
      </c>
      <c r="E62" s="222"/>
      <c r="F62" s="222"/>
    </row>
    <row r="63" spans="1:6">
      <c r="A63" s="247"/>
      <c r="B63" s="236" t="s">
        <v>425</v>
      </c>
      <c r="C63" s="228"/>
      <c r="D63" s="321">
        <v>740</v>
      </c>
      <c r="E63" s="222"/>
      <c r="F63" s="222"/>
    </row>
    <row r="64" spans="1:6">
      <c r="A64" s="247"/>
      <c r="B64" s="350"/>
      <c r="C64" s="309"/>
      <c r="D64" s="219"/>
      <c r="F64" s="223"/>
    </row>
    <row r="65" spans="1:6" s="112" customFormat="1">
      <c r="A65" s="312"/>
      <c r="B65" s="288" t="s">
        <v>82</v>
      </c>
      <c r="C65" s="213"/>
      <c r="D65" s="284"/>
      <c r="E65" s="213"/>
      <c r="F65" s="214">
        <f>SUM(F5:F64)</f>
        <v>0</v>
      </c>
    </row>
    <row r="68" spans="1:6">
      <c r="B68" s="180"/>
    </row>
    <row r="70" spans="1:6">
      <c r="B70" s="180"/>
    </row>
    <row r="71" spans="1:6">
      <c r="B71" s="180"/>
    </row>
    <row r="73" spans="1:6">
      <c r="B73" s="314"/>
    </row>
  </sheetData>
  <mergeCells count="5">
    <mergeCell ref="B5:E5"/>
    <mergeCell ref="B6:E6"/>
    <mergeCell ref="B7:E7"/>
    <mergeCell ref="B8:E8"/>
    <mergeCell ref="B9:E9"/>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showZeros="0" view="pageBreakPreview" topLeftCell="A13" zoomScale="115" zoomScaleNormal="100" zoomScaleSheetLayoutView="115" workbookViewId="0">
      <selection activeCell="E37" sqref="E37"/>
    </sheetView>
  </sheetViews>
  <sheetFormatPr defaultColWidth="9.140625" defaultRowHeight="12.75"/>
  <cols>
    <col min="1" max="1" width="5.28515625" style="218" customWidth="1"/>
    <col min="2" max="2" width="63.5703125" style="158" customWidth="1"/>
    <col min="3" max="3" width="5.7109375" style="158" customWidth="1"/>
    <col min="4" max="4" width="8.85546875" style="223" customWidth="1"/>
    <col min="5" max="5" width="9.140625" style="223" collapsed="1"/>
    <col min="6" max="6" width="10.5703125" style="223" customWidth="1"/>
    <col min="7" max="10" width="9.140625" style="109"/>
    <col min="11" max="16384" width="9.140625" style="109" collapsed="1"/>
  </cols>
  <sheetData>
    <row r="1" spans="1:7">
      <c r="A1" s="358" t="s">
        <v>168</v>
      </c>
      <c r="B1" s="161" t="s">
        <v>658</v>
      </c>
      <c r="C1" s="208"/>
      <c r="D1" s="209"/>
      <c r="E1" s="229"/>
      <c r="F1" s="229"/>
    </row>
    <row r="2" spans="1:7">
      <c r="A2" s="359"/>
      <c r="B2" s="164"/>
      <c r="C2" s="213"/>
      <c r="D2" s="214"/>
      <c r="E2" s="209"/>
      <c r="F2" s="209"/>
    </row>
    <row r="3" spans="1:7" ht="28.9" customHeight="1">
      <c r="A3" s="360" t="s">
        <v>173</v>
      </c>
      <c r="B3" s="168" t="s">
        <v>174</v>
      </c>
      <c r="C3" s="216" t="s">
        <v>175</v>
      </c>
      <c r="D3" s="217" t="s">
        <v>176</v>
      </c>
      <c r="E3" s="246" t="s">
        <v>302</v>
      </c>
      <c r="F3" s="202" t="s">
        <v>303</v>
      </c>
    </row>
    <row r="4" spans="1:7">
      <c r="B4" s="286"/>
      <c r="C4" s="307"/>
      <c r="D4" s="308"/>
    </row>
    <row r="5" spans="1:7">
      <c r="B5" s="361" t="s">
        <v>326</v>
      </c>
      <c r="D5" s="158"/>
    </row>
    <row r="6" spans="1:7" ht="212.45" customHeight="1">
      <c r="B6" s="471" t="s">
        <v>745</v>
      </c>
      <c r="C6" s="471"/>
      <c r="D6" s="471"/>
      <c r="E6" s="471"/>
    </row>
    <row r="7" spans="1:7" ht="87" customHeight="1">
      <c r="B7" s="468" t="s">
        <v>746</v>
      </c>
      <c r="C7" s="468"/>
      <c r="D7" s="468"/>
      <c r="E7" s="468"/>
    </row>
    <row r="8" spans="1:7" ht="28.5" customHeight="1">
      <c r="B8" s="469" t="s">
        <v>747</v>
      </c>
      <c r="C8" s="469"/>
      <c r="D8" s="469"/>
      <c r="E8" s="469"/>
    </row>
    <row r="9" spans="1:7">
      <c r="B9" s="172"/>
      <c r="C9" s="309"/>
      <c r="D9" s="157"/>
    </row>
    <row r="10" spans="1:7" ht="38.25">
      <c r="A10" s="218" t="s">
        <v>179</v>
      </c>
      <c r="B10" s="311" t="s">
        <v>748</v>
      </c>
      <c r="C10" s="228" t="s">
        <v>104</v>
      </c>
      <c r="D10" s="222">
        <f>D11+D12+D13+D14</f>
        <v>3.6558000000000002</v>
      </c>
      <c r="E10" s="222"/>
      <c r="F10" s="222">
        <f>E10*D10</f>
        <v>0</v>
      </c>
      <c r="G10" s="154"/>
    </row>
    <row r="11" spans="1:7">
      <c r="B11" s="362" t="s">
        <v>428</v>
      </c>
      <c r="C11" s="228"/>
      <c r="D11" s="321">
        <f>4.13*0.1</f>
        <v>0.41300000000000003</v>
      </c>
      <c r="E11" s="222"/>
      <c r="F11" s="222"/>
      <c r="G11" s="154"/>
    </row>
    <row r="12" spans="1:7">
      <c r="B12" s="362" t="s">
        <v>618</v>
      </c>
      <c r="C12" s="228"/>
      <c r="D12" s="321">
        <f>4.13*0.1</f>
        <v>0.41300000000000003</v>
      </c>
      <c r="E12" s="222"/>
      <c r="F12" s="222"/>
      <c r="G12" s="154"/>
    </row>
    <row r="13" spans="1:7">
      <c r="B13" s="362" t="s">
        <v>429</v>
      </c>
      <c r="C13" s="228"/>
      <c r="D13" s="321">
        <f>2*(3.6+1.6)*0.1</f>
        <v>1.04</v>
      </c>
      <c r="E13" s="222"/>
      <c r="F13" s="222"/>
      <c r="G13" s="154"/>
    </row>
    <row r="14" spans="1:7">
      <c r="B14" s="362" t="s">
        <v>430</v>
      </c>
      <c r="C14" s="228"/>
      <c r="D14" s="321">
        <f>0.1*2*3.14*2.85</f>
        <v>1.7898000000000003</v>
      </c>
      <c r="E14" s="222"/>
      <c r="F14" s="222"/>
      <c r="G14" s="154"/>
    </row>
    <row r="15" spans="1:7">
      <c r="B15" s="251"/>
      <c r="C15" s="309"/>
      <c r="D15" s="157"/>
    </row>
    <row r="16" spans="1:7">
      <c r="A16" s="218" t="s">
        <v>181</v>
      </c>
      <c r="B16" s="363" t="s">
        <v>617</v>
      </c>
      <c r="C16" s="309" t="s">
        <v>104</v>
      </c>
      <c r="D16" s="157">
        <f>SUM(D17:D22)</f>
        <v>30.880199999999999</v>
      </c>
      <c r="E16" s="222"/>
      <c r="F16" s="222">
        <f>E16*D16</f>
        <v>0</v>
      </c>
    </row>
    <row r="17" spans="1:6">
      <c r="B17" s="362" t="s">
        <v>427</v>
      </c>
      <c r="C17" s="309"/>
      <c r="D17" s="157">
        <f>1.6*8.3</f>
        <v>13.280000000000001</v>
      </c>
      <c r="E17" s="222"/>
      <c r="F17" s="222"/>
    </row>
    <row r="18" spans="1:6">
      <c r="B18" s="362" t="s">
        <v>428</v>
      </c>
      <c r="C18" s="309"/>
      <c r="D18" s="157">
        <f>1.6*4.13</f>
        <v>6.6080000000000005</v>
      </c>
      <c r="E18" s="222"/>
      <c r="F18" s="222"/>
    </row>
    <row r="19" spans="1:6">
      <c r="B19" s="362" t="s">
        <v>618</v>
      </c>
      <c r="C19" s="309"/>
      <c r="D19" s="157">
        <f>(0.75+0.15)*4.13</f>
        <v>3.7170000000000001</v>
      </c>
      <c r="E19" s="222"/>
      <c r="F19" s="222"/>
    </row>
    <row r="20" spans="1:6">
      <c r="B20" s="362" t="s">
        <v>648</v>
      </c>
      <c r="C20" s="309"/>
      <c r="D20" s="157">
        <f>0.2*2*(1.5+3.5)</f>
        <v>2</v>
      </c>
      <c r="E20" s="222"/>
      <c r="F20" s="222"/>
    </row>
    <row r="21" spans="1:6">
      <c r="B21" s="362" t="s">
        <v>649</v>
      </c>
      <c r="C21" s="309"/>
      <c r="D21" s="157"/>
      <c r="E21" s="222"/>
      <c r="F21" s="222"/>
    </row>
    <row r="22" spans="1:6">
      <c r="B22" s="362" t="s">
        <v>619</v>
      </c>
      <c r="C22" s="228"/>
      <c r="D22" s="222">
        <f>0.3*2*3.14*2.8</f>
        <v>5.275199999999999</v>
      </c>
    </row>
    <row r="23" spans="1:6">
      <c r="B23" s="348"/>
      <c r="C23" s="309"/>
      <c r="D23" s="157"/>
    </row>
    <row r="24" spans="1:6">
      <c r="A24" s="218" t="s">
        <v>109</v>
      </c>
      <c r="B24" s="174" t="s">
        <v>431</v>
      </c>
      <c r="C24" s="309"/>
      <c r="D24" s="157"/>
    </row>
    <row r="25" spans="1:6" ht="38.25">
      <c r="A25" s="218" t="s">
        <v>774</v>
      </c>
      <c r="B25" s="251" t="s">
        <v>798</v>
      </c>
      <c r="C25" s="309" t="s">
        <v>104</v>
      </c>
      <c r="D25" s="157">
        <f>D26+D28+D27</f>
        <v>39.44</v>
      </c>
      <c r="F25" s="223">
        <f>E25*D25</f>
        <v>0</v>
      </c>
    </row>
    <row r="26" spans="1:6">
      <c r="B26" s="236" t="s">
        <v>623</v>
      </c>
      <c r="C26" s="320"/>
      <c r="D26" s="321">
        <f>1.2*(3.4+1.4)*2</f>
        <v>11.52</v>
      </c>
    </row>
    <row r="27" spans="1:6">
      <c r="B27" s="236" t="s">
        <v>622</v>
      </c>
      <c r="C27" s="320"/>
      <c r="D27" s="321">
        <f>1*2*(3+1)</f>
        <v>8</v>
      </c>
    </row>
    <row r="28" spans="1:6">
      <c r="B28" s="236" t="s">
        <v>799</v>
      </c>
      <c r="C28" s="320"/>
      <c r="D28" s="321">
        <f>8.3*1.2*2</f>
        <v>19.920000000000002</v>
      </c>
    </row>
    <row r="29" spans="1:6">
      <c r="A29" s="370"/>
      <c r="B29" s="251"/>
      <c r="C29" s="309"/>
      <c r="D29" s="157"/>
    </row>
    <row r="30" spans="1:6" ht="63.75">
      <c r="A30" s="218" t="s">
        <v>775</v>
      </c>
      <c r="B30" s="364" t="s">
        <v>800</v>
      </c>
      <c r="C30" s="309" t="s">
        <v>104</v>
      </c>
      <c r="D30" s="157">
        <f>D31+D32+D33</f>
        <v>26.648199999999999</v>
      </c>
      <c r="F30" s="223">
        <f>E30*D30</f>
        <v>0</v>
      </c>
    </row>
    <row r="31" spans="1:6">
      <c r="B31" s="362" t="s">
        <v>620</v>
      </c>
      <c r="C31" s="228"/>
      <c r="D31" s="321">
        <f>0.7*2*3.14*2.8</f>
        <v>12.3088</v>
      </c>
    </row>
    <row r="32" spans="1:6">
      <c r="B32" s="365" t="s">
        <v>621</v>
      </c>
      <c r="C32" s="309"/>
      <c r="D32" s="321">
        <f>0.3*2*3.14*2.35</f>
        <v>4.4273999999999996</v>
      </c>
    </row>
    <row r="33" spans="1:6">
      <c r="A33" s="370"/>
      <c r="B33" s="365" t="s">
        <v>801</v>
      </c>
      <c r="C33" s="309"/>
      <c r="D33" s="321">
        <f>4.13*1.2*2</f>
        <v>9.911999999999999</v>
      </c>
    </row>
    <row r="34" spans="1:6">
      <c r="B34" s="366"/>
      <c r="C34" s="309"/>
      <c r="D34" s="157"/>
    </row>
    <row r="35" spans="1:6">
      <c r="A35" s="218" t="s">
        <v>110</v>
      </c>
      <c r="B35" s="180" t="s">
        <v>749</v>
      </c>
      <c r="C35" s="309" t="s">
        <v>104</v>
      </c>
      <c r="D35" s="157">
        <f>SUM(D36:D37)</f>
        <v>2.5</v>
      </c>
      <c r="F35" s="223">
        <f>E35*D35</f>
        <v>0</v>
      </c>
    </row>
    <row r="36" spans="1:6">
      <c r="B36" s="251" t="s">
        <v>432</v>
      </c>
      <c r="C36" s="309"/>
      <c r="D36" s="157">
        <f>2</f>
        <v>2</v>
      </c>
    </row>
    <row r="37" spans="1:6">
      <c r="B37" s="251" t="s">
        <v>341</v>
      </c>
      <c r="C37" s="309"/>
      <c r="D37" s="157">
        <v>0.5</v>
      </c>
    </row>
    <row r="38" spans="1:6">
      <c r="B38" s="251"/>
      <c r="C38" s="309"/>
      <c r="D38" s="157"/>
    </row>
    <row r="39" spans="1:6">
      <c r="A39" s="218" t="s">
        <v>111</v>
      </c>
      <c r="B39" s="349" t="s">
        <v>433</v>
      </c>
      <c r="C39" s="309" t="s">
        <v>180</v>
      </c>
      <c r="D39" s="157">
        <v>1</v>
      </c>
      <c r="F39" s="223">
        <f>E39*D39</f>
        <v>0</v>
      </c>
    </row>
    <row r="40" spans="1:6">
      <c r="B40" s="251" t="s">
        <v>434</v>
      </c>
      <c r="C40" s="309"/>
      <c r="D40" s="157"/>
    </row>
    <row r="41" spans="1:6">
      <c r="B41" s="251" t="s">
        <v>435</v>
      </c>
      <c r="C41" s="309"/>
      <c r="D41" s="222"/>
    </row>
    <row r="42" spans="1:6" ht="16.899999999999999" customHeight="1">
      <c r="A42" s="367"/>
      <c r="B42" s="201"/>
      <c r="C42" s="367"/>
      <c r="D42" s="368"/>
      <c r="E42" s="229"/>
      <c r="F42" s="229"/>
    </row>
    <row r="43" spans="1:6">
      <c r="B43" s="203" t="s">
        <v>83</v>
      </c>
      <c r="D43" s="219"/>
      <c r="F43" s="223">
        <f>SUM(F6:F42)</f>
        <v>0</v>
      </c>
    </row>
  </sheetData>
  <mergeCells count="3">
    <mergeCell ref="B7:E7"/>
    <mergeCell ref="B8:E8"/>
    <mergeCell ref="B6:E6"/>
  </mergeCells>
  <phoneticPr fontId="0" type="noConversion"/>
  <printOptions horizontalCentered="1"/>
  <pageMargins left="0.98425196850393704" right="0.39370078740157483" top="0.98425196850393704" bottom="0.78740157480314965" header="0.51181102362204722" footer="0.51181102362204722"/>
  <pageSetup paperSize="9" scale="85" fitToHeight="100" orientation="portrait" r:id="rId1"/>
  <headerFooter alignWithMargins="0">
    <oddHeader>&amp;L&amp;8&amp;F&amp;R&amp;8&amp;Pod &amp;N</oddHeader>
    <oddFooter>&amp;C&amp;8&amp;A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Zeros="0" view="pageLayout" zoomScaleNormal="100" zoomScaleSheetLayoutView="100" workbookViewId="0">
      <selection activeCell="E52" sqref="E52"/>
    </sheetView>
  </sheetViews>
  <sheetFormatPr defaultColWidth="9.140625" defaultRowHeight="12.75"/>
  <cols>
    <col min="1" max="1" width="4.28515625" style="247" customWidth="1"/>
    <col min="2" max="2" width="53.42578125" style="350" customWidth="1"/>
    <col min="3" max="3" width="6.140625" style="158" customWidth="1"/>
    <col min="4" max="4" width="9.140625" style="157"/>
    <col min="5" max="5" width="9.140625" style="223" collapsed="1"/>
    <col min="6" max="6" width="10.85546875" style="223" customWidth="1"/>
    <col min="7" max="10" width="9.140625" style="109"/>
    <col min="11" max="16384" width="9.140625" style="109" collapsed="1"/>
  </cols>
  <sheetData>
    <row r="1" spans="1:6">
      <c r="A1" s="239" t="s">
        <v>170</v>
      </c>
      <c r="B1" s="240" t="s">
        <v>659</v>
      </c>
      <c r="C1" s="208"/>
      <c r="D1" s="163"/>
      <c r="E1" s="229"/>
      <c r="F1" s="229"/>
    </row>
    <row r="2" spans="1:6">
      <c r="A2" s="241"/>
      <c r="B2" s="242"/>
      <c r="C2" s="213"/>
      <c r="D2" s="166"/>
      <c r="E2" s="209"/>
      <c r="F2" s="209"/>
    </row>
    <row r="3" spans="1:6" ht="25.5">
      <c r="A3" s="243" t="s">
        <v>173</v>
      </c>
      <c r="B3" s="244" t="s">
        <v>174</v>
      </c>
      <c r="C3" s="245" t="s">
        <v>175</v>
      </c>
      <c r="D3" s="163" t="s">
        <v>176</v>
      </c>
      <c r="E3" s="246" t="s">
        <v>302</v>
      </c>
      <c r="F3" s="202" t="s">
        <v>303</v>
      </c>
    </row>
    <row r="4" spans="1:6">
      <c r="C4" s="248"/>
    </row>
    <row r="5" spans="1:6" ht="41.25" customHeight="1">
      <c r="B5" s="468" t="s">
        <v>449</v>
      </c>
      <c r="C5" s="468"/>
      <c r="D5" s="468"/>
      <c r="E5" s="468"/>
    </row>
    <row r="6" spans="1:6">
      <c r="B6" s="173"/>
      <c r="C6" s="173"/>
      <c r="D6" s="249"/>
      <c r="E6" s="249"/>
    </row>
    <row r="7" spans="1:6" ht="147.75" customHeight="1">
      <c r="A7" s="247" t="s">
        <v>179</v>
      </c>
      <c r="B7" s="250" t="s">
        <v>441</v>
      </c>
      <c r="C7" s="248"/>
    </row>
    <row r="8" spans="1:6">
      <c r="A8" s="247" t="s">
        <v>329</v>
      </c>
      <c r="B8" s="185" t="s">
        <v>331</v>
      </c>
      <c r="C8" s="248" t="s">
        <v>104</v>
      </c>
      <c r="D8" s="157">
        <f>D9+D10</f>
        <v>11.01</v>
      </c>
      <c r="F8" s="223">
        <f>E8*D8</f>
        <v>0</v>
      </c>
    </row>
    <row r="9" spans="1:6">
      <c r="B9" s="236" t="s">
        <v>436</v>
      </c>
      <c r="C9" s="333"/>
      <c r="D9" s="321">
        <v>5.76</v>
      </c>
    </row>
    <row r="10" spans="1:6">
      <c r="B10" s="236" t="s">
        <v>438</v>
      </c>
      <c r="C10" s="333"/>
      <c r="D10" s="321">
        <v>5.25</v>
      </c>
    </row>
    <row r="11" spans="1:6">
      <c r="B11" s="251"/>
      <c r="C11" s="248"/>
    </row>
    <row r="12" spans="1:6">
      <c r="A12" s="247" t="s">
        <v>330</v>
      </c>
      <c r="B12" s="185" t="s">
        <v>440</v>
      </c>
      <c r="C12" s="248" t="s">
        <v>104</v>
      </c>
      <c r="D12" s="157">
        <f>SUM(D13:D13)</f>
        <v>11.52</v>
      </c>
      <c r="F12" s="223">
        <f>E12*D12</f>
        <v>0</v>
      </c>
    </row>
    <row r="13" spans="1:6">
      <c r="B13" s="236" t="s">
        <v>437</v>
      </c>
      <c r="C13" s="333"/>
      <c r="D13" s="321">
        <f>1.2*2*(1.4+3.4)</f>
        <v>11.52</v>
      </c>
    </row>
    <row r="14" spans="1:6">
      <c r="B14" s="251"/>
      <c r="C14" s="248"/>
    </row>
    <row r="15" spans="1:6" ht="95.25" customHeight="1">
      <c r="A15" s="247" t="s">
        <v>181</v>
      </c>
      <c r="B15" s="348" t="s">
        <v>789</v>
      </c>
      <c r="C15" s="248"/>
    </row>
    <row r="16" spans="1:6">
      <c r="A16" s="247" t="s">
        <v>785</v>
      </c>
      <c r="B16" s="352" t="s">
        <v>787</v>
      </c>
      <c r="C16" s="248" t="s">
        <v>106</v>
      </c>
      <c r="D16" s="157">
        <v>1</v>
      </c>
      <c r="F16" s="223">
        <f>E16*D16</f>
        <v>0</v>
      </c>
    </row>
    <row r="17" spans="1:7" ht="25.5">
      <c r="A17" s="247" t="s">
        <v>786</v>
      </c>
      <c r="B17" s="352" t="s">
        <v>790</v>
      </c>
      <c r="C17" s="248" t="s">
        <v>106</v>
      </c>
      <c r="D17" s="157">
        <v>1</v>
      </c>
      <c r="F17" s="223">
        <f>E17*D17</f>
        <v>0</v>
      </c>
    </row>
    <row r="18" spans="1:7">
      <c r="C18" s="248"/>
    </row>
    <row r="19" spans="1:7" ht="25.5">
      <c r="A19" s="247" t="s">
        <v>109</v>
      </c>
      <c r="B19" s="350" t="s">
        <v>628</v>
      </c>
      <c r="C19" s="248" t="s">
        <v>106</v>
      </c>
      <c r="D19" s="157">
        <v>1</v>
      </c>
      <c r="F19" s="223">
        <f>E19*D19</f>
        <v>0</v>
      </c>
    </row>
    <row r="20" spans="1:7">
      <c r="C20" s="248"/>
    </row>
    <row r="21" spans="1:7" ht="25.5">
      <c r="A21" s="252" t="s">
        <v>110</v>
      </c>
      <c r="B21" s="347" t="s">
        <v>753</v>
      </c>
      <c r="C21" s="228"/>
      <c r="D21" s="222"/>
      <c r="E21" s="222"/>
      <c r="F21" s="253"/>
      <c r="G21" s="154"/>
    </row>
    <row r="22" spans="1:7" ht="25.5">
      <c r="A22" s="252" t="s">
        <v>779</v>
      </c>
      <c r="B22" s="347" t="s">
        <v>778</v>
      </c>
      <c r="C22" s="228" t="s">
        <v>106</v>
      </c>
      <c r="D22" s="222">
        <v>2</v>
      </c>
      <c r="E22" s="222"/>
      <c r="F22" s="253">
        <f>E22*D22</f>
        <v>0</v>
      </c>
      <c r="G22" s="154"/>
    </row>
    <row r="23" spans="1:7">
      <c r="A23" s="252" t="s">
        <v>780</v>
      </c>
      <c r="B23" s="347" t="s">
        <v>781</v>
      </c>
      <c r="C23" s="228" t="s">
        <v>106</v>
      </c>
      <c r="D23" s="222">
        <v>3</v>
      </c>
      <c r="E23" s="222"/>
      <c r="F23" s="253">
        <f>E23*D23</f>
        <v>0</v>
      </c>
      <c r="G23" s="154"/>
    </row>
    <row r="24" spans="1:7">
      <c r="C24" s="248"/>
    </row>
    <row r="25" spans="1:7" ht="144" customHeight="1">
      <c r="A25" s="247" t="s">
        <v>111</v>
      </c>
      <c r="B25" s="350" t="s">
        <v>653</v>
      </c>
      <c r="C25" s="248" t="s">
        <v>180</v>
      </c>
      <c r="D25" s="157">
        <v>1</v>
      </c>
      <c r="F25" s="223">
        <f>E25*D25</f>
        <v>0</v>
      </c>
    </row>
    <row r="26" spans="1:7">
      <c r="B26" s="236" t="s">
        <v>624</v>
      </c>
      <c r="C26" s="248"/>
    </row>
    <row r="27" spans="1:7">
      <c r="B27" s="236" t="s">
        <v>625</v>
      </c>
      <c r="C27" s="248"/>
    </row>
    <row r="28" spans="1:7">
      <c r="B28" s="236" t="s">
        <v>626</v>
      </c>
      <c r="C28" s="248"/>
    </row>
    <row r="29" spans="1:7">
      <c r="B29" s="236" t="s">
        <v>627</v>
      </c>
      <c r="C29" s="248"/>
    </row>
    <row r="30" spans="1:7">
      <c r="B30" s="236"/>
      <c r="C30" s="248"/>
    </row>
    <row r="31" spans="1:7" ht="119.25" customHeight="1">
      <c r="A31" s="247" t="s">
        <v>112</v>
      </c>
      <c r="B31" s="185" t="s">
        <v>654</v>
      </c>
      <c r="C31" s="248" t="s">
        <v>104</v>
      </c>
      <c r="D31" s="157">
        <f>D32+D33+D34</f>
        <v>26.407399999999999</v>
      </c>
      <c r="F31" s="223">
        <f>E31*D31</f>
        <v>0</v>
      </c>
    </row>
    <row r="32" spans="1:7">
      <c r="B32" s="236" t="s">
        <v>630</v>
      </c>
      <c r="C32" s="333"/>
      <c r="D32" s="321">
        <f>0.25*2*3.14*2.8</f>
        <v>4.3959999999999999</v>
      </c>
    </row>
    <row r="33" spans="1:6">
      <c r="B33" s="236" t="s">
        <v>631</v>
      </c>
      <c r="C33" s="333"/>
      <c r="D33" s="321">
        <f>0.3*2*3.14*2.35</f>
        <v>4.4273999999999996</v>
      </c>
    </row>
    <row r="34" spans="1:6">
      <c r="B34" s="236" t="s">
        <v>632</v>
      </c>
      <c r="C34" s="333"/>
      <c r="D34" s="321">
        <f>2*3.14*2.8</f>
        <v>17.584</v>
      </c>
    </row>
    <row r="35" spans="1:6">
      <c r="B35" s="236"/>
      <c r="C35" s="333"/>
      <c r="D35" s="321"/>
    </row>
    <row r="36" spans="1:6" ht="140.25">
      <c r="A36" s="247" t="s">
        <v>113</v>
      </c>
      <c r="B36" s="347" t="s">
        <v>758</v>
      </c>
      <c r="C36" s="333"/>
      <c r="D36" s="321"/>
    </row>
    <row r="37" spans="1:6" ht="38.25">
      <c r="A37" s="247" t="s">
        <v>754</v>
      </c>
      <c r="B37" s="260" t="s">
        <v>772</v>
      </c>
      <c r="C37" s="372"/>
      <c r="D37" s="222"/>
      <c r="E37" s="253"/>
    </row>
    <row r="38" spans="1:6" ht="76.5">
      <c r="A38" s="247" t="s">
        <v>755</v>
      </c>
      <c r="B38" s="371" t="s">
        <v>760</v>
      </c>
      <c r="C38" s="372" t="s">
        <v>180</v>
      </c>
      <c r="D38" s="222">
        <v>1</v>
      </c>
      <c r="E38" s="253"/>
      <c r="F38" s="223">
        <f t="shared" ref="F38:F44" si="0">E38*D38</f>
        <v>0</v>
      </c>
    </row>
    <row r="39" spans="1:6" ht="72.75" customHeight="1">
      <c r="A39" s="247" t="s">
        <v>756</v>
      </c>
      <c r="B39" s="260" t="s">
        <v>761</v>
      </c>
      <c r="C39" s="372" t="s">
        <v>180</v>
      </c>
      <c r="D39" s="222">
        <v>1</v>
      </c>
      <c r="E39" s="253"/>
      <c r="F39" s="223">
        <f t="shared" si="0"/>
        <v>0</v>
      </c>
    </row>
    <row r="40" spans="1:6" ht="89.25">
      <c r="A40" s="247" t="s">
        <v>757</v>
      </c>
      <c r="B40" s="260" t="s">
        <v>759</v>
      </c>
      <c r="C40" s="372" t="s">
        <v>180</v>
      </c>
      <c r="D40" s="222">
        <v>1</v>
      </c>
      <c r="E40" s="253"/>
      <c r="F40" s="223">
        <f t="shared" si="0"/>
        <v>0</v>
      </c>
    </row>
    <row r="41" spans="1:6">
      <c r="B41" s="260"/>
      <c r="C41" s="372"/>
      <c r="D41" s="222"/>
      <c r="E41" s="253"/>
    </row>
    <row r="42" spans="1:6" ht="217.5" customHeight="1">
      <c r="A42" s="247" t="s">
        <v>114</v>
      </c>
      <c r="B42" s="351" t="s">
        <v>784</v>
      </c>
      <c r="C42" s="372" t="s">
        <v>180</v>
      </c>
      <c r="D42" s="222">
        <v>1</v>
      </c>
      <c r="E42" s="253"/>
      <c r="F42" s="223">
        <f t="shared" si="0"/>
        <v>0</v>
      </c>
    </row>
    <row r="43" spans="1:6">
      <c r="B43" s="351"/>
      <c r="C43" s="372"/>
      <c r="D43" s="222"/>
      <c r="E43" s="253"/>
    </row>
    <row r="44" spans="1:6" ht="114.75">
      <c r="A44" s="247" t="s">
        <v>115</v>
      </c>
      <c r="B44" s="351" t="s">
        <v>792</v>
      </c>
      <c r="C44" s="372" t="s">
        <v>104</v>
      </c>
      <c r="D44" s="222">
        <f>D45+D46</f>
        <v>14.916</v>
      </c>
      <c r="E44" s="253"/>
      <c r="F44" s="223">
        <f t="shared" si="0"/>
        <v>0</v>
      </c>
    </row>
    <row r="45" spans="1:6">
      <c r="B45" s="439" t="s">
        <v>794</v>
      </c>
      <c r="C45" s="372"/>
      <c r="D45" s="222">
        <f>8.3*1.2</f>
        <v>9.9600000000000009</v>
      </c>
      <c r="E45" s="253"/>
    </row>
    <row r="46" spans="1:6">
      <c r="B46" s="439" t="s">
        <v>793</v>
      </c>
      <c r="C46" s="372"/>
      <c r="D46" s="222">
        <f>4.13*1.2</f>
        <v>4.9559999999999995</v>
      </c>
      <c r="E46" s="253"/>
    </row>
    <row r="47" spans="1:6">
      <c r="C47" s="248"/>
    </row>
    <row r="48" spans="1:6" ht="51">
      <c r="A48" s="254" t="s">
        <v>116</v>
      </c>
      <c r="B48" s="255" t="s">
        <v>443</v>
      </c>
      <c r="C48" s="256"/>
      <c r="E48" s="157"/>
      <c r="F48" s="257"/>
    </row>
    <row r="49" spans="1:6" ht="25.5">
      <c r="A49" s="254"/>
      <c r="B49" s="255" t="s">
        <v>315</v>
      </c>
      <c r="C49" s="256"/>
      <c r="E49" s="157"/>
      <c r="F49" s="257"/>
    </row>
    <row r="50" spans="1:6" ht="25.5">
      <c r="A50" s="254"/>
      <c r="B50" s="255" t="s">
        <v>629</v>
      </c>
      <c r="C50" s="256"/>
      <c r="E50" s="157"/>
      <c r="F50" s="257"/>
    </row>
    <row r="51" spans="1:6" ht="63.75">
      <c r="A51" s="254"/>
      <c r="B51" s="255" t="s">
        <v>346</v>
      </c>
      <c r="C51" s="256"/>
      <c r="E51" s="157"/>
      <c r="F51" s="257"/>
    </row>
    <row r="52" spans="1:6">
      <c r="A52" s="254"/>
      <c r="B52" s="255" t="s">
        <v>316</v>
      </c>
      <c r="C52" s="256"/>
      <c r="E52" s="157"/>
      <c r="F52" s="257"/>
    </row>
    <row r="53" spans="1:6" ht="25.5">
      <c r="A53" s="254"/>
      <c r="B53" s="255" t="s">
        <v>439</v>
      </c>
      <c r="C53" s="256"/>
      <c r="E53" s="157"/>
      <c r="F53" s="257"/>
    </row>
    <row r="54" spans="1:6">
      <c r="A54" s="258" t="s">
        <v>795</v>
      </c>
      <c r="B54" s="259" t="s">
        <v>60</v>
      </c>
      <c r="C54" s="256" t="s">
        <v>84</v>
      </c>
      <c r="D54" s="157">
        <v>5</v>
      </c>
      <c r="E54" s="157"/>
      <c r="F54" s="178">
        <f>E54*D54</f>
        <v>0</v>
      </c>
    </row>
    <row r="55" spans="1:6">
      <c r="A55" s="254" t="s">
        <v>796</v>
      </c>
      <c r="B55" s="259" t="s">
        <v>61</v>
      </c>
      <c r="C55" s="256" t="s">
        <v>84</v>
      </c>
      <c r="D55" s="157">
        <v>5</v>
      </c>
      <c r="E55" s="157"/>
      <c r="F55" s="178">
        <f>E55*D55</f>
        <v>0</v>
      </c>
    </row>
    <row r="56" spans="1:6">
      <c r="A56" s="254" t="s">
        <v>797</v>
      </c>
      <c r="B56" s="260" t="s">
        <v>314</v>
      </c>
      <c r="C56" s="256"/>
      <c r="E56" s="157"/>
      <c r="F56" s="178">
        <f>(F54+F55)*0.25</f>
        <v>0</v>
      </c>
    </row>
    <row r="57" spans="1:6">
      <c r="A57" s="261"/>
      <c r="B57" s="201"/>
      <c r="C57" s="262"/>
      <c r="D57" s="202"/>
      <c r="E57" s="229"/>
      <c r="F57" s="229"/>
    </row>
    <row r="58" spans="1:6">
      <c r="B58" s="185" t="s">
        <v>85</v>
      </c>
      <c r="F58" s="223">
        <f>SUM(F7:F57)</f>
        <v>0</v>
      </c>
    </row>
    <row r="60" spans="1:6">
      <c r="B60" s="185"/>
    </row>
    <row r="61" spans="1:6">
      <c r="B61" s="263"/>
    </row>
    <row r="67" spans="2:2">
      <c r="B67" s="185"/>
    </row>
  </sheetData>
  <mergeCells count="1">
    <mergeCell ref="B5:E5"/>
  </mergeCells>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Zeros="0" view="pageBreakPreview" topLeftCell="A60" zoomScale="115" zoomScaleNormal="100" zoomScaleSheetLayoutView="115" workbookViewId="0">
      <selection activeCell="E76" sqref="E76"/>
    </sheetView>
  </sheetViews>
  <sheetFormatPr defaultColWidth="9.140625" defaultRowHeight="12.75"/>
  <cols>
    <col min="1" max="1" width="4.28515625" style="247" customWidth="1"/>
    <col min="2" max="2" width="53.42578125" style="350" customWidth="1"/>
    <col min="3" max="3" width="6.140625" style="158" customWidth="1"/>
    <col min="4" max="4" width="9.42578125" style="157" bestFit="1" customWidth="1"/>
    <col min="5" max="5" width="9.140625" style="223" collapsed="1"/>
    <col min="6" max="6" width="10.85546875" style="223" customWidth="1"/>
    <col min="7" max="10" width="9.140625" style="109"/>
    <col min="11" max="16384" width="9.140625" style="109" collapsed="1"/>
  </cols>
  <sheetData>
    <row r="1" spans="1:7">
      <c r="A1" s="239" t="s">
        <v>170</v>
      </c>
      <c r="B1" s="240" t="s">
        <v>660</v>
      </c>
      <c r="C1" s="208"/>
      <c r="D1" s="163"/>
      <c r="E1" s="229"/>
      <c r="F1" s="229"/>
    </row>
    <row r="2" spans="1:7">
      <c r="A2" s="241"/>
      <c r="B2" s="242"/>
      <c r="C2" s="213"/>
      <c r="D2" s="166"/>
      <c r="E2" s="209"/>
      <c r="F2" s="209"/>
    </row>
    <row r="3" spans="1:7" ht="25.5">
      <c r="A3" s="243" t="s">
        <v>173</v>
      </c>
      <c r="B3" s="244" t="s">
        <v>174</v>
      </c>
      <c r="C3" s="245" t="s">
        <v>175</v>
      </c>
      <c r="D3" s="163" t="s">
        <v>176</v>
      </c>
      <c r="E3" s="246" t="s">
        <v>302</v>
      </c>
      <c r="F3" s="202" t="s">
        <v>303</v>
      </c>
    </row>
    <row r="4" spans="1:7">
      <c r="C4" s="248"/>
    </row>
    <row r="5" spans="1:7" ht="25.5" customHeight="1">
      <c r="B5" s="468" t="s">
        <v>802</v>
      </c>
      <c r="C5" s="468"/>
      <c r="D5" s="468"/>
      <c r="E5" s="468"/>
    </row>
    <row r="6" spans="1:7">
      <c r="B6" s="173"/>
      <c r="C6" s="173"/>
      <c r="D6" s="249"/>
      <c r="E6" s="249"/>
    </row>
    <row r="7" spans="1:7" ht="68.25" customHeight="1">
      <c r="A7" s="252"/>
      <c r="B7" s="347" t="s">
        <v>451</v>
      </c>
      <c r="C7" s="228"/>
      <c r="D7" s="222"/>
      <c r="E7" s="222"/>
      <c r="F7" s="253"/>
      <c r="G7" s="154"/>
    </row>
    <row r="8" spans="1:7">
      <c r="A8" s="252"/>
      <c r="B8" s="347"/>
      <c r="C8" s="228"/>
      <c r="D8" s="222"/>
      <c r="E8" s="222"/>
      <c r="F8" s="253"/>
      <c r="G8" s="154"/>
    </row>
    <row r="9" spans="1:7" ht="81" customHeight="1">
      <c r="A9" s="252" t="s">
        <v>179</v>
      </c>
      <c r="B9" s="347" t="s">
        <v>557</v>
      </c>
      <c r="C9" s="228" t="s">
        <v>180</v>
      </c>
      <c r="D9" s="222">
        <v>1</v>
      </c>
      <c r="E9" s="222"/>
      <c r="F9" s="253">
        <f>E9*D9</f>
        <v>0</v>
      </c>
      <c r="G9" s="154"/>
    </row>
    <row r="10" spans="1:7">
      <c r="A10" s="252"/>
      <c r="B10" s="347"/>
      <c r="C10" s="228"/>
      <c r="D10" s="222"/>
      <c r="E10" s="222"/>
      <c r="F10" s="253"/>
      <c r="G10" s="154"/>
    </row>
    <row r="11" spans="1:7" ht="178.5">
      <c r="A11" s="252" t="s">
        <v>181</v>
      </c>
      <c r="B11" s="347" t="s">
        <v>616</v>
      </c>
      <c r="C11" s="228" t="s">
        <v>105</v>
      </c>
      <c r="D11" s="222">
        <f>D12+D13+D14</f>
        <v>121.44399999999999</v>
      </c>
      <c r="E11" s="222"/>
      <c r="F11" s="253">
        <f>E11*D11</f>
        <v>0</v>
      </c>
      <c r="G11" s="154"/>
    </row>
    <row r="12" spans="1:7" ht="25.5">
      <c r="A12" s="252"/>
      <c r="B12" s="236" t="s">
        <v>549</v>
      </c>
      <c r="C12" s="320"/>
      <c r="D12" s="321">
        <f>(5.3+6.1+19.8+4.57)*1*1*0.2</f>
        <v>7.1539999999999999</v>
      </c>
      <c r="E12" s="222"/>
      <c r="F12" s="253"/>
      <c r="G12" s="154"/>
    </row>
    <row r="13" spans="1:7" ht="25.5">
      <c r="A13" s="252"/>
      <c r="B13" s="236" t="s">
        <v>589</v>
      </c>
      <c r="C13" s="320"/>
      <c r="D13" s="321">
        <f>71.17*1.5</f>
        <v>106.755</v>
      </c>
      <c r="E13" s="222"/>
      <c r="F13" s="253"/>
      <c r="G13" s="154"/>
    </row>
    <row r="14" spans="1:7">
      <c r="A14" s="252"/>
      <c r="B14" s="236" t="s">
        <v>550</v>
      </c>
      <c r="C14" s="320"/>
      <c r="D14" s="321">
        <f>(9.32+5.75)*1*1*0.5</f>
        <v>7.5350000000000001</v>
      </c>
      <c r="E14" s="222"/>
      <c r="F14" s="253"/>
      <c r="G14" s="154"/>
    </row>
    <row r="15" spans="1:7">
      <c r="A15" s="252"/>
      <c r="B15" s="236"/>
      <c r="C15" s="320"/>
      <c r="D15" s="321"/>
      <c r="E15" s="222"/>
      <c r="F15" s="253"/>
      <c r="G15" s="154"/>
    </row>
    <row r="16" spans="1:7" ht="51">
      <c r="A16" s="218" t="s">
        <v>109</v>
      </c>
      <c r="B16" s="180" t="s">
        <v>750</v>
      </c>
      <c r="C16" s="309" t="s">
        <v>104</v>
      </c>
      <c r="D16" s="157">
        <f>12.14+30.92</f>
        <v>43.06</v>
      </c>
      <c r="F16" s="223">
        <f>E16*D16</f>
        <v>0</v>
      </c>
      <c r="G16" s="154"/>
    </row>
    <row r="17" spans="1:7">
      <c r="A17" s="218"/>
      <c r="B17" s="350" t="s">
        <v>327</v>
      </c>
      <c r="C17" s="309"/>
      <c r="G17" s="154"/>
    </row>
    <row r="18" spans="1:7">
      <c r="A18" s="218"/>
      <c r="B18" s="350" t="s">
        <v>328</v>
      </c>
      <c r="C18" s="309"/>
      <c r="G18" s="154"/>
    </row>
    <row r="19" spans="1:7" ht="25.5">
      <c r="A19" s="218"/>
      <c r="B19" s="350" t="s">
        <v>551</v>
      </c>
      <c r="C19" s="309"/>
      <c r="G19" s="154"/>
    </row>
    <row r="20" spans="1:7" ht="25.5">
      <c r="A20" s="218"/>
      <c r="B20" s="350" t="s">
        <v>552</v>
      </c>
      <c r="C20" s="309"/>
      <c r="G20" s="154"/>
    </row>
    <row r="21" spans="1:7">
      <c r="A21" s="252"/>
      <c r="B21" s="347"/>
      <c r="C21" s="228"/>
      <c r="D21" s="222"/>
      <c r="E21" s="222"/>
      <c r="F21" s="253"/>
      <c r="G21" s="154"/>
    </row>
    <row r="22" spans="1:7" ht="81" customHeight="1">
      <c r="A22" s="252" t="s">
        <v>110</v>
      </c>
      <c r="B22" s="280" t="s">
        <v>555</v>
      </c>
      <c r="C22" s="309" t="s">
        <v>104</v>
      </c>
      <c r="D22" s="157">
        <f>D23+D24</f>
        <v>204.08999999999997</v>
      </c>
      <c r="F22" s="223">
        <f>E22*D22</f>
        <v>0</v>
      </c>
      <c r="G22" s="154"/>
    </row>
    <row r="23" spans="1:7">
      <c r="A23" s="252"/>
      <c r="B23" s="236" t="s">
        <v>553</v>
      </c>
      <c r="C23" s="320"/>
      <c r="D23" s="321">
        <f>2*85.13</f>
        <v>170.26</v>
      </c>
      <c r="E23" s="222"/>
      <c r="F23" s="253"/>
      <c r="G23" s="154"/>
    </row>
    <row r="24" spans="1:7">
      <c r="A24" s="252"/>
      <c r="B24" s="236" t="s">
        <v>554</v>
      </c>
      <c r="C24" s="320"/>
      <c r="D24" s="321">
        <f>22.18+11.65</f>
        <v>33.83</v>
      </c>
      <c r="E24" s="222"/>
      <c r="F24" s="253"/>
      <c r="G24" s="154"/>
    </row>
    <row r="25" spans="1:7">
      <c r="A25" s="252"/>
      <c r="B25" s="236"/>
      <c r="C25" s="320"/>
      <c r="D25" s="321"/>
      <c r="E25" s="222"/>
      <c r="F25" s="253"/>
      <c r="G25" s="154"/>
    </row>
    <row r="26" spans="1:7" ht="81" customHeight="1">
      <c r="A26" s="252" t="s">
        <v>111</v>
      </c>
      <c r="B26" s="347" t="s">
        <v>558</v>
      </c>
      <c r="C26" s="228" t="s">
        <v>105</v>
      </c>
      <c r="D26" s="222">
        <f>85.13*0.35</f>
        <v>29.795499999999997</v>
      </c>
      <c r="E26" s="222"/>
      <c r="F26" s="253">
        <f>E26*D26</f>
        <v>0</v>
      </c>
      <c r="G26" s="154"/>
    </row>
    <row r="27" spans="1:7" ht="25.5">
      <c r="A27" s="252"/>
      <c r="B27" s="180" t="s">
        <v>565</v>
      </c>
      <c r="C27" s="320"/>
      <c r="D27" s="321"/>
      <c r="E27" s="222"/>
      <c r="F27" s="253"/>
      <c r="G27" s="154"/>
    </row>
    <row r="28" spans="1:7">
      <c r="A28" s="252"/>
      <c r="B28" s="180" t="s">
        <v>509</v>
      </c>
      <c r="C28" s="320"/>
      <c r="D28" s="321"/>
      <c r="E28" s="222"/>
      <c r="F28" s="253"/>
      <c r="G28" s="154"/>
    </row>
    <row r="29" spans="1:7">
      <c r="A29" s="252"/>
      <c r="B29" s="180" t="s">
        <v>510</v>
      </c>
      <c r="C29" s="320"/>
      <c r="D29" s="321"/>
      <c r="E29" s="222"/>
      <c r="F29" s="253"/>
      <c r="G29" s="154"/>
    </row>
    <row r="30" spans="1:7">
      <c r="A30" s="252"/>
      <c r="B30" s="180" t="s">
        <v>511</v>
      </c>
      <c r="C30" s="320"/>
      <c r="D30" s="321"/>
      <c r="E30" s="222"/>
      <c r="F30" s="253"/>
      <c r="G30" s="154"/>
    </row>
    <row r="31" spans="1:7">
      <c r="A31" s="252"/>
      <c r="B31" s="180" t="s">
        <v>512</v>
      </c>
      <c r="C31" s="320"/>
      <c r="D31" s="321"/>
      <c r="E31" s="222"/>
      <c r="F31" s="253"/>
      <c r="G31" s="154"/>
    </row>
    <row r="32" spans="1:7">
      <c r="A32" s="252"/>
      <c r="B32" s="180" t="s">
        <v>513</v>
      </c>
      <c r="C32" s="320"/>
      <c r="D32" s="321"/>
      <c r="E32" s="222"/>
      <c r="F32" s="253"/>
      <c r="G32" s="154"/>
    </row>
    <row r="33" spans="1:7">
      <c r="A33" s="252"/>
      <c r="B33" s="180" t="s">
        <v>556</v>
      </c>
      <c r="C33" s="320"/>
      <c r="D33" s="321"/>
      <c r="E33" s="222"/>
      <c r="F33" s="253"/>
      <c r="G33" s="154"/>
    </row>
    <row r="34" spans="1:7">
      <c r="A34" s="252"/>
      <c r="B34" s="180" t="s">
        <v>519</v>
      </c>
      <c r="C34" s="320"/>
      <c r="D34" s="321"/>
      <c r="E34" s="222"/>
      <c r="F34" s="253"/>
      <c r="G34" s="154"/>
    </row>
    <row r="35" spans="1:7">
      <c r="A35" s="252"/>
      <c r="B35" s="180" t="s">
        <v>520</v>
      </c>
      <c r="C35" s="320"/>
      <c r="D35" s="321"/>
      <c r="E35" s="222"/>
      <c r="F35" s="253"/>
      <c r="G35" s="154"/>
    </row>
    <row r="36" spans="1:7">
      <c r="A36" s="252"/>
      <c r="B36" s="180" t="s">
        <v>521</v>
      </c>
      <c r="C36" s="320"/>
      <c r="D36" s="321"/>
      <c r="E36" s="222"/>
      <c r="F36" s="253"/>
      <c r="G36" s="154"/>
    </row>
    <row r="37" spans="1:7" ht="25.5">
      <c r="A37" s="252"/>
      <c r="B37" s="180" t="s">
        <v>522</v>
      </c>
      <c r="C37" s="320"/>
      <c r="D37" s="321"/>
      <c r="E37" s="222"/>
      <c r="F37" s="253"/>
      <c r="G37" s="154"/>
    </row>
    <row r="38" spans="1:7">
      <c r="A38" s="252"/>
      <c r="B38" s="180" t="s">
        <v>523</v>
      </c>
      <c r="C38" s="320"/>
      <c r="D38" s="321"/>
      <c r="E38" s="222"/>
      <c r="F38" s="253"/>
      <c r="G38" s="154"/>
    </row>
    <row r="39" spans="1:7">
      <c r="A39" s="252"/>
      <c r="B39" s="180" t="s">
        <v>524</v>
      </c>
      <c r="C39" s="320"/>
      <c r="D39" s="321"/>
      <c r="E39" s="222"/>
      <c r="F39" s="253"/>
      <c r="G39" s="154"/>
    </row>
    <row r="40" spans="1:7" ht="25.5">
      <c r="A40" s="252"/>
      <c r="B40" s="180" t="s">
        <v>525</v>
      </c>
      <c r="C40" s="320"/>
      <c r="D40" s="321"/>
      <c r="E40" s="222"/>
      <c r="F40" s="253"/>
      <c r="G40" s="154"/>
    </row>
    <row r="41" spans="1:7">
      <c r="A41" s="252"/>
      <c r="B41" s="180" t="s">
        <v>526</v>
      </c>
      <c r="C41" s="320"/>
      <c r="D41" s="321"/>
      <c r="E41" s="222"/>
      <c r="F41" s="253"/>
      <c r="G41" s="154"/>
    </row>
    <row r="42" spans="1:7">
      <c r="A42" s="252"/>
      <c r="B42" s="180" t="s">
        <v>527</v>
      </c>
      <c r="C42" s="320"/>
      <c r="D42" s="321"/>
      <c r="E42" s="222"/>
      <c r="F42" s="253"/>
      <c r="G42" s="154"/>
    </row>
    <row r="43" spans="1:7">
      <c r="A43" s="252"/>
      <c r="B43" s="180"/>
      <c r="C43" s="320"/>
      <c r="D43" s="321"/>
      <c r="E43" s="222"/>
      <c r="F43" s="253"/>
      <c r="G43" s="154"/>
    </row>
    <row r="44" spans="1:7" ht="41.25" customHeight="1">
      <c r="A44" s="252" t="s">
        <v>112</v>
      </c>
      <c r="B44" s="311" t="s">
        <v>615</v>
      </c>
      <c r="C44" s="228" t="s">
        <v>130</v>
      </c>
      <c r="D44" s="157">
        <f>D45+D46</f>
        <v>2117</v>
      </c>
      <c r="E44" s="222"/>
      <c r="F44" s="222">
        <f>E44*D44</f>
        <v>0</v>
      </c>
      <c r="G44" s="154"/>
    </row>
    <row r="45" spans="1:7">
      <c r="A45" s="252"/>
      <c r="B45" s="236" t="s">
        <v>806</v>
      </c>
      <c r="C45" s="228"/>
      <c r="D45" s="321">
        <v>1883</v>
      </c>
      <c r="E45" s="222"/>
      <c r="F45" s="222"/>
      <c r="G45" s="154"/>
    </row>
    <row r="46" spans="1:7">
      <c r="A46" s="252"/>
      <c r="B46" s="236" t="s">
        <v>807</v>
      </c>
      <c r="C46" s="228"/>
      <c r="D46" s="321">
        <v>234</v>
      </c>
      <c r="E46" s="222"/>
      <c r="F46" s="222"/>
      <c r="G46" s="154"/>
    </row>
    <row r="47" spans="1:7">
      <c r="A47" s="252"/>
      <c r="B47" s="180"/>
      <c r="C47" s="320"/>
      <c r="D47" s="321"/>
      <c r="E47" s="222"/>
      <c r="F47" s="253"/>
      <c r="G47" s="154"/>
    </row>
    <row r="48" spans="1:7" ht="51">
      <c r="A48" s="252" t="s">
        <v>113</v>
      </c>
      <c r="B48" s="180" t="s">
        <v>776</v>
      </c>
      <c r="C48" s="228" t="s">
        <v>104</v>
      </c>
      <c r="D48" s="222">
        <f>85.12+3*0.7</f>
        <v>87.22</v>
      </c>
      <c r="E48" s="222"/>
      <c r="F48" s="253">
        <f>E48*D48</f>
        <v>0</v>
      </c>
      <c r="G48" s="154"/>
    </row>
    <row r="49" spans="1:7">
      <c r="A49" s="252"/>
      <c r="B49" s="347"/>
      <c r="C49" s="228"/>
      <c r="D49" s="222"/>
      <c r="E49" s="222"/>
      <c r="F49" s="253"/>
      <c r="G49" s="154"/>
    </row>
    <row r="50" spans="1:7" ht="38.25">
      <c r="A50" s="252" t="s">
        <v>114</v>
      </c>
      <c r="B50" s="347" t="s">
        <v>791</v>
      </c>
      <c r="C50" s="228" t="s">
        <v>180</v>
      </c>
      <c r="D50" s="222">
        <v>1</v>
      </c>
      <c r="E50" s="222"/>
      <c r="F50" s="223">
        <f>E50*D50</f>
        <v>0</v>
      </c>
      <c r="G50" s="154"/>
    </row>
    <row r="51" spans="1:7">
      <c r="A51" s="252"/>
      <c r="B51" s="347"/>
      <c r="C51" s="228"/>
      <c r="D51" s="222"/>
      <c r="E51" s="222"/>
      <c r="F51" s="253"/>
      <c r="G51" s="154"/>
    </row>
    <row r="52" spans="1:7" ht="108.75" customHeight="1">
      <c r="A52" s="252" t="s">
        <v>115</v>
      </c>
      <c r="B52" s="347" t="s">
        <v>453</v>
      </c>
      <c r="C52" s="327" t="s">
        <v>104</v>
      </c>
      <c r="D52" s="334">
        <f>D56+D57</f>
        <v>107.31</v>
      </c>
      <c r="E52" s="334"/>
      <c r="F52" s="225">
        <f>E52*D52</f>
        <v>0</v>
      </c>
      <c r="G52" s="154"/>
    </row>
    <row r="53" spans="1:7" ht="38.25">
      <c r="A53" s="252"/>
      <c r="B53" s="347" t="s">
        <v>560</v>
      </c>
      <c r="C53" s="228"/>
      <c r="D53" s="222"/>
      <c r="E53" s="222"/>
      <c r="F53" s="253"/>
      <c r="G53" s="154"/>
    </row>
    <row r="54" spans="1:7" ht="121.5" customHeight="1">
      <c r="A54" s="252"/>
      <c r="B54" s="347" t="s">
        <v>452</v>
      </c>
      <c r="C54" s="228"/>
      <c r="D54" s="222"/>
      <c r="E54" s="222"/>
      <c r="F54" s="253"/>
      <c r="G54" s="154"/>
    </row>
    <row r="55" spans="1:7" ht="25.5">
      <c r="A55" s="252"/>
      <c r="B55" s="347" t="s">
        <v>454</v>
      </c>
      <c r="C55" s="228"/>
      <c r="D55" s="222"/>
      <c r="E55" s="222"/>
      <c r="F55" s="253"/>
      <c r="G55" s="154"/>
    </row>
    <row r="56" spans="1:7">
      <c r="A56" s="252"/>
      <c r="B56" s="236" t="s">
        <v>559</v>
      </c>
      <c r="C56" s="320"/>
      <c r="D56" s="321">
        <v>85.13</v>
      </c>
      <c r="E56" s="222"/>
      <c r="F56" s="253"/>
      <c r="G56" s="154"/>
    </row>
    <row r="57" spans="1:7">
      <c r="A57" s="252"/>
      <c r="B57" s="236" t="s">
        <v>554</v>
      </c>
      <c r="C57" s="320"/>
      <c r="D57" s="321">
        <v>22.18</v>
      </c>
      <c r="E57" s="222"/>
      <c r="F57" s="253"/>
      <c r="G57" s="154"/>
    </row>
    <row r="58" spans="1:7">
      <c r="A58" s="252"/>
      <c r="B58" s="347"/>
      <c r="C58" s="228"/>
      <c r="D58" s="222"/>
      <c r="E58" s="222"/>
      <c r="F58" s="253"/>
      <c r="G58" s="154"/>
    </row>
    <row r="59" spans="1:7" ht="355.5" customHeight="1">
      <c r="A59" s="252" t="s">
        <v>116</v>
      </c>
      <c r="B59" s="347" t="s">
        <v>561</v>
      </c>
      <c r="C59" s="322" t="s">
        <v>105</v>
      </c>
      <c r="D59" s="295">
        <f>85.13*0.7</f>
        <v>59.590999999999994</v>
      </c>
      <c r="E59" s="295"/>
      <c r="F59" s="295">
        <f>E59*D59</f>
        <v>0</v>
      </c>
      <c r="G59" s="154"/>
    </row>
    <row r="60" spans="1:7" ht="51">
      <c r="A60" s="252"/>
      <c r="B60" s="347" t="s">
        <v>562</v>
      </c>
      <c r="C60" s="228"/>
      <c r="D60" s="222"/>
      <c r="E60" s="222"/>
      <c r="F60" s="253"/>
      <c r="G60" s="154"/>
    </row>
    <row r="61" spans="1:7">
      <c r="A61" s="252"/>
      <c r="B61" s="347"/>
      <c r="C61" s="228"/>
      <c r="D61" s="222"/>
      <c r="E61" s="222"/>
      <c r="F61" s="253"/>
      <c r="G61" s="154"/>
    </row>
    <row r="62" spans="1:7" ht="102">
      <c r="A62" s="252" t="s">
        <v>117</v>
      </c>
      <c r="B62" s="347" t="s">
        <v>548</v>
      </c>
      <c r="C62" s="228" t="s">
        <v>106</v>
      </c>
      <c r="D62" s="222">
        <f>84</f>
        <v>84</v>
      </c>
      <c r="E62" s="222"/>
      <c r="F62" s="253">
        <f>E62*D62</f>
        <v>0</v>
      </c>
      <c r="G62" s="154"/>
    </row>
    <row r="63" spans="1:7" ht="30.75" customHeight="1">
      <c r="A63" s="252"/>
      <c r="B63" s="347" t="s">
        <v>547</v>
      </c>
      <c r="C63" s="228"/>
      <c r="D63" s="222"/>
      <c r="E63" s="222"/>
      <c r="F63" s="253"/>
      <c r="G63" s="154"/>
    </row>
    <row r="64" spans="1:7">
      <c r="A64" s="252"/>
      <c r="B64" s="347">
        <v>83.98</v>
      </c>
      <c r="C64" s="228"/>
      <c r="D64" s="222"/>
      <c r="E64" s="222"/>
      <c r="F64" s="253"/>
      <c r="G64" s="154"/>
    </row>
    <row r="65" spans="1:7">
      <c r="A65" s="252"/>
      <c r="B65" s="347"/>
      <c r="C65" s="228"/>
      <c r="D65" s="222"/>
      <c r="E65" s="222"/>
      <c r="F65" s="253"/>
      <c r="G65" s="154"/>
    </row>
    <row r="66" spans="1:7" ht="25.5">
      <c r="A66" s="252" t="s">
        <v>118</v>
      </c>
      <c r="B66" s="347" t="s">
        <v>458</v>
      </c>
      <c r="C66" s="228" t="s">
        <v>180</v>
      </c>
      <c r="D66" s="222">
        <v>1</v>
      </c>
      <c r="E66" s="222"/>
      <c r="F66" s="253">
        <f>E66*D66</f>
        <v>0</v>
      </c>
      <c r="G66" s="154"/>
    </row>
    <row r="67" spans="1:7">
      <c r="A67" s="252"/>
      <c r="B67" s="347"/>
      <c r="C67" s="228"/>
      <c r="D67" s="222"/>
      <c r="E67" s="222"/>
      <c r="F67" s="253"/>
      <c r="G67" s="154"/>
    </row>
    <row r="68" spans="1:7" ht="30.75" customHeight="1">
      <c r="A68" s="252" t="s">
        <v>119</v>
      </c>
      <c r="B68" s="347" t="s">
        <v>563</v>
      </c>
      <c r="C68" s="228" t="s">
        <v>105</v>
      </c>
      <c r="D68" s="222">
        <f>D69+D70</f>
        <v>66.073000000000008</v>
      </c>
      <c r="E68" s="222"/>
      <c r="F68" s="253">
        <f>E68*D68</f>
        <v>0</v>
      </c>
      <c r="G68" s="154"/>
    </row>
    <row r="69" spans="1:7" ht="18" customHeight="1">
      <c r="A69" s="252"/>
      <c r="B69" s="236" t="s">
        <v>568</v>
      </c>
      <c r="C69" s="342"/>
      <c r="D69" s="343">
        <f>(5.3+6.1+19.8+4.57+9.32+5.75)*0.5*0.75</f>
        <v>19.064999999999998</v>
      </c>
      <c r="E69" s="222"/>
      <c r="F69" s="253"/>
      <c r="G69" s="154"/>
    </row>
    <row r="70" spans="1:7" ht="53.25" customHeight="1">
      <c r="A70" s="252"/>
      <c r="B70" s="236" t="s">
        <v>567</v>
      </c>
      <c r="C70" s="342"/>
      <c r="D70" s="343">
        <f>(60.67+11.65)*0.65</f>
        <v>47.00800000000001</v>
      </c>
      <c r="E70" s="222"/>
      <c r="F70" s="253"/>
      <c r="G70" s="154"/>
    </row>
    <row r="71" spans="1:7">
      <c r="A71" s="252"/>
      <c r="B71" s="347"/>
      <c r="C71" s="228"/>
      <c r="D71" s="222"/>
      <c r="E71" s="222"/>
      <c r="F71" s="253"/>
      <c r="G71" s="154"/>
    </row>
    <row r="72" spans="1:7" ht="38.25">
      <c r="A72" s="252" t="s">
        <v>120</v>
      </c>
      <c r="B72" s="280" t="s">
        <v>564</v>
      </c>
      <c r="C72" s="228" t="s">
        <v>104</v>
      </c>
      <c r="D72" s="222">
        <f>(5.3+6.1+19.8+4.57+9.32+5.75)*1.5</f>
        <v>76.259999999999991</v>
      </c>
      <c r="E72" s="222"/>
      <c r="F72" s="253">
        <f>E72*D72</f>
        <v>0</v>
      </c>
      <c r="G72" s="154"/>
    </row>
    <row r="73" spans="1:7">
      <c r="A73" s="252"/>
      <c r="B73" s="280"/>
      <c r="C73" s="228"/>
      <c r="D73" s="222"/>
      <c r="E73" s="222"/>
      <c r="F73" s="253"/>
      <c r="G73" s="154"/>
    </row>
    <row r="74" spans="1:7" ht="25.5">
      <c r="A74" s="252" t="s">
        <v>122</v>
      </c>
      <c r="B74" s="280" t="s">
        <v>566</v>
      </c>
      <c r="C74" s="228" t="s">
        <v>104</v>
      </c>
      <c r="D74" s="222">
        <f>(60.67+11.65)*0.65*7</f>
        <v>329.05600000000004</v>
      </c>
      <c r="E74" s="222"/>
      <c r="F74" s="253">
        <f>E74*D74</f>
        <v>0</v>
      </c>
      <c r="G74" s="154"/>
    </row>
    <row r="75" spans="1:7">
      <c r="A75" s="252"/>
      <c r="B75" s="280"/>
      <c r="C75" s="228"/>
      <c r="D75" s="222"/>
      <c r="E75" s="222"/>
      <c r="F75" s="253"/>
      <c r="G75" s="154"/>
    </row>
    <row r="76" spans="1:7" ht="81.75" customHeight="1">
      <c r="A76" s="252" t="s">
        <v>123</v>
      </c>
      <c r="B76" s="280" t="s">
        <v>641</v>
      </c>
      <c r="C76" s="228" t="s">
        <v>107</v>
      </c>
      <c r="D76" s="222">
        <f>(5.3+6.1+19.8+4.57+9.32+5.75) + 10</f>
        <v>60.839999999999996</v>
      </c>
      <c r="E76" s="222"/>
      <c r="F76" s="253">
        <f>E76*D76</f>
        <v>0</v>
      </c>
      <c r="G76" s="154"/>
    </row>
    <row r="77" spans="1:7">
      <c r="A77" s="218"/>
      <c r="C77" s="248"/>
    </row>
    <row r="78" spans="1:7" ht="25.5">
      <c r="A78" s="247" t="s">
        <v>124</v>
      </c>
      <c r="B78" s="350" t="s">
        <v>442</v>
      </c>
      <c r="C78" s="248" t="s">
        <v>180</v>
      </c>
      <c r="D78" s="157">
        <v>1</v>
      </c>
      <c r="F78" s="223">
        <f>E78*D78</f>
        <v>0</v>
      </c>
    </row>
    <row r="79" spans="1:7">
      <c r="A79" s="261"/>
      <c r="B79" s="201"/>
      <c r="C79" s="262"/>
      <c r="D79" s="202"/>
      <c r="E79" s="229"/>
      <c r="F79" s="229"/>
    </row>
    <row r="80" spans="1:7">
      <c r="B80" s="185" t="s">
        <v>457</v>
      </c>
      <c r="F80" s="223">
        <f>SUM(F7:F79)</f>
        <v>0</v>
      </c>
    </row>
    <row r="82" spans="2:2">
      <c r="B82" s="185"/>
    </row>
    <row r="83" spans="2:2">
      <c r="B83" s="263"/>
    </row>
    <row r="89" spans="2:2">
      <c r="B89" s="185"/>
    </row>
  </sheetData>
  <mergeCells count="1">
    <mergeCell ref="B5:E5"/>
  </mergeCells>
  <phoneticPr fontId="0" type="noConversion"/>
  <printOptions horizontalCentered="1"/>
  <pageMargins left="0.98425196850393704" right="0.39370078740157483" top="0.98425196850393704" bottom="0.78740157480314965" header="0.51181102362204722" footer="0.51181102362204722"/>
  <pageSetup paperSize="9" scale="96" fitToHeight="100" orientation="portrait" r:id="rId1"/>
  <headerFooter alignWithMargins="0">
    <oddHeader>&amp;L&amp;8&amp;F&amp;R&amp;8&amp;Pod &amp;N</oddHeader>
    <oddFooter>&amp;C&amp;8&amp;A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25</vt:i4>
      </vt:variant>
      <vt:variant>
        <vt:lpstr>Imenovani obsegi</vt:lpstr>
      </vt:variant>
      <vt:variant>
        <vt:i4>35</vt:i4>
      </vt:variant>
    </vt:vector>
  </HeadingPairs>
  <TitlesOfParts>
    <vt:vector size="60" baseType="lpstr">
      <vt:lpstr>REKAPITULACIJA</vt:lpstr>
      <vt:lpstr>GLAVNA REKAPITULACIJA</vt:lpstr>
      <vt:lpstr>navodila</vt:lpstr>
      <vt:lpstr>I.Pripravljalna +rusitvena dela</vt:lpstr>
      <vt:lpstr>II.Zemeljska dela</vt:lpstr>
      <vt:lpstr>III.AB dela</vt:lpstr>
      <vt:lpstr>IV.Tesarska dela</vt:lpstr>
      <vt:lpstr>V.Zidarska  dela</vt:lpstr>
      <vt:lpstr>VI. oporni zid sanacija</vt:lpstr>
      <vt:lpstr>I.Ključavničarska dela</vt:lpstr>
      <vt:lpstr>II. Urbana oprema</vt:lpstr>
      <vt:lpstr>III. Sadilni material</vt:lpstr>
      <vt:lpstr>tehnologija fontane</vt:lpstr>
      <vt:lpstr>II. Zidarska dela</vt:lpstr>
      <vt:lpstr>III. Tesarska dela</vt:lpstr>
      <vt:lpstr>B. OBRTNIŠKA DELA</vt:lpstr>
      <vt:lpstr>I. Krovsko kleparska dela</vt:lpstr>
      <vt:lpstr>II. Klučavničarska dela</vt:lpstr>
      <vt:lpstr>III. Alu in steklarska dela</vt:lpstr>
      <vt:lpstr>IV. Mizarska dela</vt:lpstr>
      <vt:lpstr> V. Pred. stene in spušč. str.</vt:lpstr>
      <vt:lpstr>VI. Keramičarska dela</vt:lpstr>
      <vt:lpstr>VII. Fasaderska dela</vt:lpstr>
      <vt:lpstr>VIII. Slikopleskarska dela</vt:lpstr>
      <vt:lpstr>IX. Razna obrtniška dela</vt:lpstr>
      <vt:lpstr>' V. Pred. stene in spušč. str.'!Področje_tiskanja</vt:lpstr>
      <vt:lpstr>'B. OBRTNIŠKA DELA'!Področje_tiskanja</vt:lpstr>
      <vt:lpstr>'GLAVNA REKAPITULACIJA'!Področje_tiskanja</vt:lpstr>
      <vt:lpstr>'I. Krovsko kleparska dela'!Področje_tiskanja</vt:lpstr>
      <vt:lpstr>'I.Ključavničarska dela'!Področje_tiskanja</vt:lpstr>
      <vt:lpstr>'I.Pripravljalna +rusitvena dela'!Področje_tiskanja</vt:lpstr>
      <vt:lpstr>'II. Klučavničarska dela'!Področje_tiskanja</vt:lpstr>
      <vt:lpstr>'II. Urbana oprema'!Področje_tiskanja</vt:lpstr>
      <vt:lpstr>'II.Zemeljska dela'!Področje_tiskanja</vt:lpstr>
      <vt:lpstr>'III. Alu in steklarska dela'!Področje_tiskanja</vt:lpstr>
      <vt:lpstr>'III. Sadilni material'!Področje_tiskanja</vt:lpstr>
      <vt:lpstr>'III. Tesarska dela'!Področje_tiskanja</vt:lpstr>
      <vt:lpstr>'III.AB dela'!Področje_tiskanja</vt:lpstr>
      <vt:lpstr>'IV. Mizarska dela'!Področje_tiskanja</vt:lpstr>
      <vt:lpstr>'IV.Tesarska dela'!Področje_tiskanja</vt:lpstr>
      <vt:lpstr>'IX. Razna obrtniška dela'!Področje_tiskanja</vt:lpstr>
      <vt:lpstr>REKAPITULACIJA!Področje_tiskanja</vt:lpstr>
      <vt:lpstr>'tehnologija fontane'!Področje_tiskanja</vt:lpstr>
      <vt:lpstr>'V.Zidarska  dela'!Področje_tiskanja</vt:lpstr>
      <vt:lpstr>'VI. Keramičarska dela'!Področje_tiskanja</vt:lpstr>
      <vt:lpstr>'VI. oporni zid sanacija'!Področje_tiskanja</vt:lpstr>
      <vt:lpstr>'VII. Fasaderska dela'!Področje_tiskanja</vt:lpstr>
      <vt:lpstr>'VIII. Slikopleskarska dela'!Področje_tiskanja</vt:lpstr>
      <vt:lpstr>'I. Krovsko kleparska dela'!Tiskanje_naslovov</vt:lpstr>
      <vt:lpstr>'I.Ključavničarska dela'!Tiskanje_naslovov</vt:lpstr>
      <vt:lpstr>'II. Klučavničarska dela'!Tiskanje_naslovov</vt:lpstr>
      <vt:lpstr>'II. Zidarska dela'!Tiskanje_naslovov</vt:lpstr>
      <vt:lpstr>'II.Zemeljska dela'!Tiskanje_naslovov</vt:lpstr>
      <vt:lpstr>'III. Alu in steklarska dela'!Tiskanje_naslovov</vt:lpstr>
      <vt:lpstr>'III.AB dela'!Tiskanje_naslovov</vt:lpstr>
      <vt:lpstr>'IV.Tesarska dela'!Tiskanje_naslovov</vt:lpstr>
      <vt:lpstr>'IX. Razna obrtniška dela'!Tiskanje_naslovov</vt:lpstr>
      <vt:lpstr>'V.Zidarska  dela'!Tiskanje_naslovov</vt:lpstr>
      <vt:lpstr>'VI. oporni zid sanacija'!Tiskanje_naslovov</vt:lpstr>
      <vt:lpstr>'VII. Fasaderska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 plan d.o.o.</dc:creator>
  <cp:lastModifiedBy>Matjaž Rok</cp:lastModifiedBy>
  <cp:lastPrinted>2019-06-27T09:41:23Z</cp:lastPrinted>
  <dcterms:created xsi:type="dcterms:W3CDTF">2004-02-12T13:55:20Z</dcterms:created>
  <dcterms:modified xsi:type="dcterms:W3CDTF">2019-08-01T10:41:31Z</dcterms:modified>
</cp:coreProperties>
</file>